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чет нормативных затрат\Расчет нормативных затрат на 2026 г\Образование\"/>
    </mc:Choice>
  </mc:AlternateContent>
  <bookViews>
    <workbookView xWindow="0" yWindow="0" windowWidth="30720" windowHeight="12936" activeTab="1"/>
  </bookViews>
  <sheets>
    <sheet name="образов" sheetId="14" r:id="rId1"/>
    <sheet name="ЦТО" sheetId="8" r:id="rId2"/>
    <sheet name="ЦТО 2026" sheetId="1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6" i="8" l="1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5" i="8"/>
  <c r="V15" i="8"/>
  <c r="S5" i="8" l="1"/>
  <c r="M46" i="8" l="1"/>
  <c r="M43" i="8"/>
  <c r="M38" i="8"/>
  <c r="M40" i="8"/>
  <c r="M39" i="8"/>
  <c r="M42" i="8"/>
  <c r="M20" i="15" l="1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M22" i="15" l="1"/>
  <c r="V8" i="8"/>
  <c r="V9" i="8"/>
  <c r="V7" i="14" l="1"/>
  <c r="M13" i="8" l="1"/>
  <c r="M12" i="8"/>
  <c r="M11" i="8"/>
  <c r="M10" i="8"/>
  <c r="M9" i="8"/>
  <c r="M8" i="8"/>
  <c r="M7" i="8"/>
  <c r="M5" i="8"/>
  <c r="G10" i="8" l="1"/>
  <c r="S10" i="8" s="1"/>
  <c r="Q10" i="8" l="1"/>
  <c r="W9" i="8"/>
  <c r="W8" i="8"/>
  <c r="M34" i="8"/>
  <c r="M35" i="8"/>
  <c r="M36" i="8"/>
  <c r="M37" i="8"/>
  <c r="M41" i="8"/>
  <c r="M44" i="8"/>
  <c r="M45" i="8"/>
  <c r="M33" i="8"/>
  <c r="M47" i="8" l="1"/>
  <c r="M18" i="8"/>
  <c r="M17" i="8"/>
  <c r="M16" i="8"/>
  <c r="M6" i="8"/>
  <c r="L6" i="14"/>
  <c r="L5" i="14"/>
  <c r="I5" i="14"/>
  <c r="I6" i="14"/>
  <c r="J14" i="8"/>
  <c r="N10" i="8" l="1"/>
  <c r="V10" i="8"/>
  <c r="G7" i="14"/>
  <c r="H7" i="14"/>
  <c r="K7" i="14"/>
  <c r="I7" i="14" l="1"/>
  <c r="G18" i="8"/>
  <c r="S18" i="8" s="1"/>
  <c r="G17" i="8"/>
  <c r="S17" i="8" s="1"/>
  <c r="Q17" i="8" l="1"/>
  <c r="P17" i="8"/>
  <c r="Q18" i="8"/>
  <c r="P18" i="8"/>
  <c r="V17" i="8"/>
  <c r="V18" i="8"/>
  <c r="N18" i="8"/>
  <c r="N17" i="8"/>
  <c r="AA18" i="8" l="1"/>
  <c r="AB18" i="8" s="1"/>
  <c r="AA17" i="8"/>
  <c r="AB17" i="8" s="1"/>
  <c r="F6" i="14"/>
  <c r="F7" i="14"/>
  <c r="F5" i="14"/>
  <c r="G16" i="8"/>
  <c r="S16" i="8" s="1"/>
  <c r="Q16" i="8" l="1"/>
  <c r="P16" i="8"/>
  <c r="R5" i="14"/>
  <c r="U5" i="14" s="1"/>
  <c r="V16" i="8"/>
  <c r="O6" i="14"/>
  <c r="P6" i="14"/>
  <c r="P5" i="14"/>
  <c r="N16" i="8"/>
  <c r="G5" i="8"/>
  <c r="M5" i="14" l="1"/>
  <c r="AA16" i="8"/>
  <c r="AB16" i="8" s="1"/>
  <c r="N5" i="8"/>
  <c r="O5" i="14"/>
  <c r="V5" i="8"/>
  <c r="AA5" i="8" l="1"/>
  <c r="AB5" i="8" s="1"/>
  <c r="J15" i="8"/>
  <c r="S15" i="8" s="1"/>
  <c r="P15" i="8" l="1"/>
  <c r="Q15" i="8" s="1"/>
  <c r="N15" i="8"/>
  <c r="AA15" i="8" l="1"/>
  <c r="AB15" i="8" s="1"/>
  <c r="L7" i="14"/>
  <c r="M6" i="14" l="1"/>
  <c r="R6" i="14"/>
  <c r="G13" i="8"/>
  <c r="S13" i="8" s="1"/>
  <c r="Q13" i="8" l="1"/>
  <c r="P13" i="8"/>
  <c r="V13" i="8"/>
  <c r="R7" i="14"/>
  <c r="U6" i="14"/>
  <c r="M7" i="14"/>
  <c r="N13" i="8"/>
  <c r="U7" i="14" l="1"/>
  <c r="Y6" i="14"/>
  <c r="AA13" i="8"/>
  <c r="AB13" i="8" s="1"/>
  <c r="P7" i="14"/>
  <c r="O7" i="14"/>
  <c r="G14" i="8"/>
  <c r="P14" i="8" l="1"/>
  <c r="S14" i="8"/>
  <c r="V14" i="8" s="1"/>
  <c r="Q14" i="8"/>
  <c r="T19" i="8"/>
  <c r="U19" i="8"/>
  <c r="Q21" i="8" l="1"/>
  <c r="X7" i="14"/>
  <c r="W7" i="14"/>
  <c r="AA14" i="8"/>
  <c r="AB14" i="8" s="1"/>
  <c r="N14" i="8"/>
  <c r="N21" i="8" s="1"/>
  <c r="P21" i="8"/>
  <c r="G12" i="8"/>
  <c r="S12" i="8" s="1"/>
  <c r="G6" i="8"/>
  <c r="G7" i="8"/>
  <c r="G11" i="8"/>
  <c r="P11" i="8" l="1"/>
  <c r="S11" i="8"/>
  <c r="P7" i="8"/>
  <c r="S7" i="8"/>
  <c r="V7" i="8" s="1"/>
  <c r="P6" i="8"/>
  <c r="S6" i="8"/>
  <c r="S19" i="8" s="1"/>
  <c r="S21" i="8"/>
  <c r="V21" i="8" s="1"/>
  <c r="P19" i="8"/>
  <c r="V11" i="8"/>
  <c r="V6" i="8"/>
  <c r="V12" i="8"/>
  <c r="S8" i="14"/>
  <c r="Q7" i="8"/>
  <c r="Q19" i="8" s="1"/>
  <c r="N7" i="8"/>
  <c r="N6" i="8"/>
  <c r="N11" i="8"/>
  <c r="N12" i="8"/>
  <c r="V19" i="8" l="1"/>
  <c r="AA9" i="8"/>
  <c r="AB9" i="8" s="1"/>
  <c r="AA10" i="8"/>
  <c r="AB10" i="8" s="1"/>
  <c r="AA7" i="8"/>
  <c r="AB7" i="8" s="1"/>
  <c r="AA12" i="8"/>
  <c r="AB12" i="8" s="1"/>
  <c r="AA11" i="8"/>
  <c r="AB11" i="8" s="1"/>
  <c r="AA6" i="8"/>
  <c r="AA8" i="8"/>
  <c r="AB8" i="8" s="1"/>
  <c r="Q20" i="8"/>
  <c r="Q22" i="8" s="1"/>
  <c r="P20" i="8"/>
  <c r="P22" i="8" s="1"/>
  <c r="N20" i="8"/>
  <c r="U8" i="14"/>
  <c r="T8" i="14"/>
  <c r="R8" i="14"/>
  <c r="N22" i="8" l="1"/>
  <c r="S20" i="8"/>
  <c r="S22" i="8" s="1"/>
  <c r="AB6" i="8"/>
  <c r="AB19" i="8" s="1"/>
  <c r="AB21" i="8" s="1"/>
  <c r="AA19" i="8"/>
  <c r="W19" i="8"/>
  <c r="V20" i="8"/>
  <c r="Y26" i="8" l="1"/>
  <c r="V8" i="14"/>
  <c r="X8" i="14"/>
  <c r="W8" i="14"/>
  <c r="V22" i="8"/>
</calcChain>
</file>

<file path=xl/sharedStrings.xml><?xml version="1.0" encoding="utf-8"?>
<sst xmlns="http://schemas.openxmlformats.org/spreadsheetml/2006/main" count="225" uniqueCount="72">
  <si>
    <t>норма расхода топлива (средняя)</t>
  </si>
  <si>
    <t>планируемое количество пройденных километров в месяц</t>
  </si>
  <si>
    <t>наименование автотранспортного средства</t>
  </si>
  <si>
    <t>норма расхода топлива на 1час</t>
  </si>
  <si>
    <t>количество рабочих часов использования ТС в месяц</t>
  </si>
  <si>
    <t>планируемое количество часов использования ТС за год</t>
  </si>
  <si>
    <t>Сумма утвержденного плана</t>
  </si>
  <si>
    <t>кол-во месяцев по плану</t>
  </si>
  <si>
    <t>кол-во месяцев использования ТС (при расчете в часах)</t>
  </si>
  <si>
    <t>кол-во месяцев использования ТС (при расчете в км.)</t>
  </si>
  <si>
    <t>норма расхода топлива на 100 км. (летняя 6,5 мес)</t>
  </si>
  <si>
    <t>норма расхода топлива на 100 км.  (зимняя 5,5 мес)</t>
  </si>
  <si>
    <t>МТЗ-80           хо 31-37</t>
  </si>
  <si>
    <t>ПАЗ-32053 к 900 ху</t>
  </si>
  <si>
    <t>итого</t>
  </si>
  <si>
    <t>наименование учреждения</t>
  </si>
  <si>
    <t>Отдел образования администации г.Дивногорска</t>
  </si>
  <si>
    <t>ПАЗ-32053-70  н017нк</t>
  </si>
  <si>
    <t>аппарат</t>
  </si>
  <si>
    <t>опека</t>
  </si>
  <si>
    <t>планируемое количество литров в месяц</t>
  </si>
  <si>
    <t>МТЗ-82           кк1046</t>
  </si>
  <si>
    <t>автобус подвоз</t>
  </si>
  <si>
    <t>трактор</t>
  </si>
  <si>
    <t>легковой "Волга"</t>
  </si>
  <si>
    <t>количество пройденных километров в месяц</t>
  </si>
  <si>
    <t xml:space="preserve"> количество литров в месяц</t>
  </si>
  <si>
    <t>ПАЗ-32053-70  е020ну</t>
  </si>
  <si>
    <t>ваз 21074 р158со (мску)</t>
  </si>
  <si>
    <t>ВАЗ 21043 А984НВ (комплексный)</t>
  </si>
  <si>
    <t xml:space="preserve">ПАЗ 423470-04 г/н Е060ОТ (нов) д/т </t>
  </si>
  <si>
    <t xml:space="preserve">ГАЗ 322121 г/н Е016 ОТ (нов) </t>
  </si>
  <si>
    <t>МКУ "ЦТО"</t>
  </si>
  <si>
    <t>ПАЗ 32053-70 г/н М699РН</t>
  </si>
  <si>
    <t>ПАЗ 4234 70 г/н У777ТУ</t>
  </si>
  <si>
    <t>выделено  на 2022</t>
  </si>
  <si>
    <t xml:space="preserve">нет хватает </t>
  </si>
  <si>
    <t>ГАЗ NEXT  Н884ТЕ  (нов 2023)</t>
  </si>
  <si>
    <t>списан</t>
  </si>
  <si>
    <t>ЛАДА Гранта Н041НК опека</t>
  </si>
  <si>
    <t>ЛАДА Гранта Н041НК аппарат</t>
  </si>
  <si>
    <t xml:space="preserve">ГАЗ 322171 г/н М 261 ТВ (нов) </t>
  </si>
  <si>
    <t xml:space="preserve">легковой </t>
  </si>
  <si>
    <t>Нормативы затрат на 2026</t>
  </si>
  <si>
    <t>Нормативы затрат на 2027</t>
  </si>
  <si>
    <t>Масло моторное(гидравлическое)</t>
  </si>
  <si>
    <t>Тосол(Антифриз)</t>
  </si>
  <si>
    <t>Жидкость тормозная</t>
  </si>
  <si>
    <t>смазка</t>
  </si>
  <si>
    <t>присадка</t>
  </si>
  <si>
    <t>кол-во</t>
  </si>
  <si>
    <t>сумма</t>
  </si>
  <si>
    <t>Расчет нормативных затрат на горюче-смазочные материалы 2026 годы</t>
  </si>
  <si>
    <t>ПАЗ 32053-70 К783ТХ</t>
  </si>
  <si>
    <t>количество пройденных километров за 12 месяцев 2025 год</t>
  </si>
  <si>
    <t>Нормативы затрат на 2028</t>
  </si>
  <si>
    <t>Фактические расходы ГСМ за 12 месяцев 2025г</t>
  </si>
  <si>
    <t>средняя цена 1 литра ГСМ 2025г</t>
  </si>
  <si>
    <t>Затраты в месяц 2025г</t>
  </si>
  <si>
    <t>цена 1 литра ГСМ 2025г</t>
  </si>
  <si>
    <t xml:space="preserve">Затраты в месяц 2025г </t>
  </si>
  <si>
    <t xml:space="preserve">цена 1 литра ГСМ 2025 год </t>
  </si>
  <si>
    <t>Расчетный норматив расходов на 2026</t>
  </si>
  <si>
    <t>Норматив  на приобретение ГСМ (на 2026 год)</t>
  </si>
  <si>
    <t>Фактический расход смазочных материалов за  2026г.</t>
  </si>
  <si>
    <t>Итого</t>
  </si>
  <si>
    <t>Х</t>
  </si>
  <si>
    <t xml:space="preserve">средняя цена 1 литра ГСМ </t>
  </si>
  <si>
    <t xml:space="preserve">Затраты в месяц </t>
  </si>
  <si>
    <t>Фактические расходы ГСМ за год</t>
  </si>
  <si>
    <t>Затраты в месяц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</si>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</sst>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3" tint="0.3999755851924192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wrapText="1"/>
    </xf>
    <xf numFmtId="4" fontId="2" fillId="2" borderId="0" xfId="0" applyNumberFormat="1" applyFont="1" applyFill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4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2" fontId="2" fillId="2" borderId="5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2" fontId="2" fillId="3" borderId="0" xfId="0" applyNumberFormat="1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4" borderId="1" xfId="0" applyFont="1" applyFill="1" applyBorder="1" applyAlignment="1">
      <alignment horizontal="center" wrapText="1"/>
    </xf>
    <xf numFmtId="4" fontId="2" fillId="0" borderId="0" xfId="0" applyNumberFormat="1" applyFont="1" applyAlignment="1">
      <alignment wrapText="1"/>
    </xf>
    <xf numFmtId="4" fontId="2" fillId="3" borderId="8" xfId="0" applyNumberFormat="1" applyFont="1" applyFill="1" applyBorder="1" applyAlignment="1">
      <alignment wrapText="1"/>
    </xf>
    <xf numFmtId="4" fontId="2" fillId="3" borderId="0" xfId="0" applyNumberFormat="1" applyFont="1" applyFill="1" applyAlignment="1">
      <alignment wrapText="1"/>
    </xf>
    <xf numFmtId="0" fontId="5" fillId="0" borderId="3" xfId="0" applyFont="1" applyBorder="1" applyAlignment="1">
      <alignment horizontal="right" wrapText="1"/>
    </xf>
    <xf numFmtId="0" fontId="2" fillId="4" borderId="0" xfId="0" applyFont="1" applyFill="1" applyAlignment="1">
      <alignment wrapText="1"/>
    </xf>
    <xf numFmtId="2" fontId="1" fillId="4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5" fillId="0" borderId="3" xfId="0" applyNumberFormat="1" applyFont="1" applyBorder="1" applyAlignment="1">
      <alignment horizontal="right" wrapText="1"/>
    </xf>
    <xf numFmtId="0" fontId="2" fillId="5" borderId="0" xfId="0" applyFont="1" applyFill="1" applyAlignment="1">
      <alignment wrapText="1"/>
    </xf>
    <xf numFmtId="0" fontId="2" fillId="0" borderId="1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9" xfId="0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2" fillId="6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2" fillId="3" borderId="5" xfId="0" applyNumberFormat="1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2" fontId="5" fillId="3" borderId="3" xfId="0" applyNumberFormat="1" applyFont="1" applyFill="1" applyBorder="1" applyAlignment="1">
      <alignment wrapText="1"/>
    </xf>
    <xf numFmtId="2" fontId="5" fillId="3" borderId="9" xfId="0" applyNumberFormat="1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opLeftCell="F1" zoomScale="146" zoomScaleNormal="146" workbookViewId="0">
      <selection activeCell="S8" sqref="S8"/>
    </sheetView>
  </sheetViews>
  <sheetFormatPr defaultColWidth="8.88671875" defaultRowHeight="10.199999999999999" x14ac:dyDescent="0.2"/>
  <cols>
    <col min="1" max="1" width="8.88671875" style="1"/>
    <col min="2" max="2" width="14.88671875" style="1" customWidth="1"/>
    <col min="3" max="3" width="9.5546875" style="1" customWidth="1"/>
    <col min="4" max="5" width="7.109375" style="1" customWidth="1"/>
    <col min="6" max="6" width="7.109375" style="2" customWidth="1"/>
    <col min="7" max="7" width="7.88671875" style="1" customWidth="1"/>
    <col min="8" max="8" width="7.109375" style="9" customWidth="1"/>
    <col min="9" max="9" width="8.88671875" style="2" customWidth="1"/>
    <col min="10" max="10" width="7.88671875" style="1" customWidth="1"/>
    <col min="11" max="11" width="9.5546875" style="1" customWidth="1"/>
    <col min="12" max="16" width="9.6640625" style="2" customWidth="1"/>
    <col min="17" max="17" width="7.109375" style="1" customWidth="1"/>
    <col min="18" max="18" width="11.33203125" style="12" customWidth="1"/>
    <col min="19" max="19" width="9.33203125" style="1" customWidth="1"/>
    <col min="20" max="20" width="8.5546875" style="1" customWidth="1"/>
    <col min="21" max="16384" width="8.88671875" style="1"/>
  </cols>
  <sheetData>
    <row r="1" spans="1:25" ht="10.199999999999999" customHeight="1" x14ac:dyDescent="0.2">
      <c r="E1" s="62" t="s">
        <v>52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5" x14ac:dyDescent="0.2">
      <c r="N2" s="37"/>
      <c r="O2" s="37"/>
      <c r="P2" s="37"/>
    </row>
    <row r="3" spans="1:25" x14ac:dyDescent="0.2">
      <c r="N3" s="37"/>
      <c r="O3" s="37"/>
      <c r="P3" s="37"/>
    </row>
    <row r="4" spans="1:25" ht="83.25" customHeight="1" x14ac:dyDescent="0.2">
      <c r="A4" s="3" t="s">
        <v>15</v>
      </c>
      <c r="B4" s="3" t="s">
        <v>2</v>
      </c>
      <c r="C4" s="4" t="s">
        <v>3</v>
      </c>
      <c r="D4" s="4" t="s">
        <v>10</v>
      </c>
      <c r="E4" s="4" t="s">
        <v>11</v>
      </c>
      <c r="F4" s="5" t="s">
        <v>0</v>
      </c>
      <c r="G4" s="4" t="s">
        <v>8</v>
      </c>
      <c r="H4" s="6" t="s">
        <v>5</v>
      </c>
      <c r="I4" s="5" t="s">
        <v>4</v>
      </c>
      <c r="J4" s="4" t="s">
        <v>9</v>
      </c>
      <c r="K4" s="6" t="s">
        <v>54</v>
      </c>
      <c r="L4" s="7" t="s">
        <v>25</v>
      </c>
      <c r="M4" s="7" t="s">
        <v>26</v>
      </c>
      <c r="N4" s="32" t="s">
        <v>57</v>
      </c>
      <c r="O4" s="32" t="s">
        <v>58</v>
      </c>
      <c r="P4" s="32" t="s">
        <v>56</v>
      </c>
      <c r="Q4" s="55" t="s">
        <v>59</v>
      </c>
      <c r="R4" s="10" t="s">
        <v>60</v>
      </c>
      <c r="S4" s="14" t="s">
        <v>6</v>
      </c>
      <c r="T4" s="14" t="s">
        <v>7</v>
      </c>
      <c r="U4" s="3" t="s">
        <v>63</v>
      </c>
      <c r="V4" s="3" t="s">
        <v>43</v>
      </c>
      <c r="W4" s="3" t="s">
        <v>44</v>
      </c>
      <c r="X4" s="3" t="s">
        <v>55</v>
      </c>
      <c r="Y4" s="3" t="s">
        <v>7</v>
      </c>
    </row>
    <row r="5" spans="1:25" ht="19.2" customHeight="1" x14ac:dyDescent="0.2">
      <c r="A5" s="3" t="s">
        <v>19</v>
      </c>
      <c r="B5" s="27" t="s">
        <v>39</v>
      </c>
      <c r="C5" s="4">
        <v>0.84</v>
      </c>
      <c r="D5" s="27">
        <v>9.66</v>
      </c>
      <c r="E5" s="27">
        <v>10.92</v>
      </c>
      <c r="F5" s="28">
        <f>(D5*6.5+E5*5.5)/12</f>
        <v>10.237499999999999</v>
      </c>
      <c r="G5" s="27">
        <v>4</v>
      </c>
      <c r="H5" s="42">
        <v>24</v>
      </c>
      <c r="I5" s="43">
        <f>H5/G5</f>
        <v>6</v>
      </c>
      <c r="J5" s="27">
        <v>12</v>
      </c>
      <c r="K5" s="25">
        <v>5429</v>
      </c>
      <c r="L5" s="26">
        <f>K5/J5</f>
        <v>452.41666666666669</v>
      </c>
      <c r="M5" s="26">
        <f>(L5*F5)/100+(C5*I5)</f>
        <v>51.356156249999991</v>
      </c>
      <c r="N5" s="38">
        <v>53.45</v>
      </c>
      <c r="O5" s="38">
        <f>(F5*L5)/100*N5+C5*I5*N5</f>
        <v>2744.9865515624997</v>
      </c>
      <c r="P5" s="38">
        <f>(F5*K5)/100*N5+C5*H5*N5</f>
        <v>30784.734618750001</v>
      </c>
      <c r="Q5" s="27">
        <v>54</v>
      </c>
      <c r="R5" s="11">
        <f>(F5*Q5*L5)/100+C5*I5*Q5</f>
        <v>2773.2324374999994</v>
      </c>
      <c r="S5" s="24"/>
      <c r="T5" s="24"/>
      <c r="U5" s="19">
        <f>R5*12</f>
        <v>33278.789249999994</v>
      </c>
      <c r="V5" s="19">
        <v>33278.79</v>
      </c>
      <c r="W5" s="19">
        <v>33278.79</v>
      </c>
      <c r="X5" s="19">
        <v>33278.79</v>
      </c>
      <c r="Y5" s="20">
        <v>12</v>
      </c>
    </row>
    <row r="6" spans="1:25" ht="27" customHeight="1" x14ac:dyDescent="0.2">
      <c r="A6" s="3" t="s">
        <v>18</v>
      </c>
      <c r="B6" s="27" t="s">
        <v>40</v>
      </c>
      <c r="C6" s="4">
        <v>0.84</v>
      </c>
      <c r="D6" s="27">
        <v>9.66</v>
      </c>
      <c r="E6" s="27">
        <v>10.92</v>
      </c>
      <c r="F6" s="28">
        <f t="shared" ref="F6:F7" si="0">(D6*6.5+E6*5.5)/12</f>
        <v>10.237499999999999</v>
      </c>
      <c r="G6" s="27">
        <v>4</v>
      </c>
      <c r="H6" s="42">
        <v>75</v>
      </c>
      <c r="I6" s="43">
        <f>H6/G6</f>
        <v>18.75</v>
      </c>
      <c r="J6" s="27">
        <v>12</v>
      </c>
      <c r="K6" s="25">
        <v>10970</v>
      </c>
      <c r="L6" s="26">
        <f>K6/J6</f>
        <v>914.16666666666663</v>
      </c>
      <c r="M6" s="26">
        <f>(L6*F6)/100</f>
        <v>93.587812499999984</v>
      </c>
      <c r="N6" s="38">
        <v>53.45</v>
      </c>
      <c r="O6" s="38">
        <f>(F6*K6)/100*N6+C6*H6*N6</f>
        <v>63394.572937499994</v>
      </c>
      <c r="P6" s="38">
        <f>(F6*K6)/100*N6+C6*H6*N6</f>
        <v>63394.572937499994</v>
      </c>
      <c r="Q6" s="27">
        <v>54</v>
      </c>
      <c r="R6" s="11">
        <f>(F6*Q6*L6)/100+C6*I6*Q6</f>
        <v>5904.2418749999997</v>
      </c>
      <c r="S6" s="24"/>
      <c r="T6" s="24"/>
      <c r="U6" s="19">
        <f>R6*12</f>
        <v>70850.902499999997</v>
      </c>
      <c r="V6" s="19">
        <v>70850.899999999994</v>
      </c>
      <c r="W6" s="19">
        <v>70850.899999999994</v>
      </c>
      <c r="X6" s="19">
        <v>70850.899999999994</v>
      </c>
      <c r="Y6" s="20">
        <f>V6*12/U6</f>
        <v>11.999999576575613</v>
      </c>
    </row>
    <row r="7" spans="1:25" ht="61.2" x14ac:dyDescent="0.2">
      <c r="A7" s="17" t="s">
        <v>16</v>
      </c>
      <c r="B7" s="27" t="s">
        <v>14</v>
      </c>
      <c r="C7" s="17">
        <v>0.84</v>
      </c>
      <c r="D7" s="27">
        <v>9.66</v>
      </c>
      <c r="E7" s="27">
        <v>10.92</v>
      </c>
      <c r="F7" s="28">
        <f t="shared" si="0"/>
        <v>10.237499999999999</v>
      </c>
      <c r="G7" s="27">
        <f>(G5+G6)/2</f>
        <v>4</v>
      </c>
      <c r="H7" s="42">
        <f>SUM(H5:H6)</f>
        <v>99</v>
      </c>
      <c r="I7" s="43">
        <f>SUM(I5:I6)</f>
        <v>24.75</v>
      </c>
      <c r="J7" s="27">
        <v>12</v>
      </c>
      <c r="K7" s="3">
        <f>SUM(K5:K6)</f>
        <v>16399</v>
      </c>
      <c r="L7" s="13">
        <f>SUM(L5:L6)</f>
        <v>1366.5833333333333</v>
      </c>
      <c r="M7" s="13">
        <f>SUM(M5:M6)</f>
        <v>144.94396874999998</v>
      </c>
      <c r="N7" s="38">
        <v>53.45</v>
      </c>
      <c r="O7" s="38">
        <f>SUM(O5:O6)</f>
        <v>66139.559489062493</v>
      </c>
      <c r="P7" s="38">
        <f>SUM(P5:P6)</f>
        <v>94179.307556249987</v>
      </c>
      <c r="Q7" s="27">
        <v>54</v>
      </c>
      <c r="R7" s="11">
        <f>R5+R6</f>
        <v>8677.4743124999986</v>
      </c>
      <c r="S7" s="11">
        <v>104129.64</v>
      </c>
      <c r="T7" s="11">
        <v>12</v>
      </c>
      <c r="U7" s="19">
        <f>SUM(U5:U6)</f>
        <v>104129.69175</v>
      </c>
      <c r="V7" s="19">
        <f>SUM(V5:V6)</f>
        <v>104129.69</v>
      </c>
      <c r="W7" s="19">
        <f t="shared" ref="W7:X7" si="1">SUM(W5:W6)</f>
        <v>104129.69</v>
      </c>
      <c r="X7" s="19">
        <f t="shared" si="1"/>
        <v>104129.69</v>
      </c>
      <c r="Y7" s="20">
        <v>12</v>
      </c>
    </row>
    <row r="8" spans="1:25" x14ac:dyDescent="0.2">
      <c r="A8" s="3"/>
      <c r="B8" s="21" t="s">
        <v>14</v>
      </c>
      <c r="C8" s="22">
        <v>0.84</v>
      </c>
      <c r="D8" s="22"/>
      <c r="E8" s="22"/>
      <c r="F8" s="22"/>
      <c r="G8" s="22"/>
      <c r="H8" s="22"/>
      <c r="I8" s="41"/>
      <c r="J8" s="22"/>
      <c r="K8" s="22"/>
      <c r="L8" s="22"/>
      <c r="M8" s="44"/>
      <c r="N8" s="36"/>
      <c r="O8" s="36"/>
      <c r="P8" s="36"/>
      <c r="Q8" s="23"/>
      <c r="R8" s="11">
        <f>R7</f>
        <v>8677.4743124999986</v>
      </c>
      <c r="S8" s="11">
        <f t="shared" ref="S8:T8" si="2">S7</f>
        <v>104129.64</v>
      </c>
      <c r="T8" s="11">
        <f t="shared" si="2"/>
        <v>12</v>
      </c>
      <c r="U8" s="11">
        <f>U7</f>
        <v>104129.69175</v>
      </c>
      <c r="V8" s="11">
        <f>V7</f>
        <v>104129.69</v>
      </c>
      <c r="W8" s="11">
        <f t="shared" ref="W8:X8" si="3">W7</f>
        <v>104129.69</v>
      </c>
      <c r="X8" s="11">
        <f t="shared" si="3"/>
        <v>104129.69</v>
      </c>
      <c r="Y8" s="20">
        <v>12</v>
      </c>
    </row>
    <row r="10" spans="1:25" x14ac:dyDescent="0.2">
      <c r="F10" s="1"/>
      <c r="H10" s="1"/>
      <c r="I10" s="1"/>
      <c r="L10" s="1"/>
      <c r="M10" s="1"/>
      <c r="N10" s="1"/>
      <c r="O10" s="1"/>
      <c r="P10" s="1"/>
      <c r="R10" s="1"/>
    </row>
    <row r="11" spans="1:25" x14ac:dyDescent="0.2">
      <c r="F11" s="1"/>
      <c r="H11" s="1"/>
      <c r="I11" s="1"/>
      <c r="L11" s="1"/>
      <c r="M11" s="1"/>
      <c r="N11" s="1"/>
      <c r="O11" s="1"/>
      <c r="P11" s="1"/>
      <c r="R11" s="1"/>
    </row>
    <row r="12" spans="1:25" x14ac:dyDescent="0.2">
      <c r="F12" s="1"/>
      <c r="H12" s="1"/>
      <c r="I12" s="1"/>
      <c r="L12" s="1"/>
      <c r="M12" s="1"/>
      <c r="N12" s="1"/>
      <c r="O12" s="1"/>
      <c r="P12" s="1"/>
      <c r="R12" s="1"/>
    </row>
    <row r="13" spans="1:25" x14ac:dyDescent="0.2">
      <c r="F13" s="1"/>
      <c r="H13" s="1"/>
      <c r="I13" s="1"/>
      <c r="L13" s="1"/>
      <c r="M13" s="1"/>
      <c r="N13" s="1"/>
      <c r="O13" s="1"/>
      <c r="P13" s="1"/>
      <c r="R13" s="1"/>
    </row>
    <row r="14" spans="1:25" x14ac:dyDescent="0.2">
      <c r="F14" s="1"/>
      <c r="H14" s="1"/>
      <c r="I14" s="1"/>
      <c r="L14" s="1"/>
      <c r="M14" s="1"/>
      <c r="N14" s="1"/>
      <c r="O14" s="1"/>
      <c r="P14" s="1"/>
      <c r="R14" s="1"/>
    </row>
    <row r="15" spans="1:25" x14ac:dyDescent="0.2">
      <c r="F15" s="1"/>
      <c r="H15" s="1"/>
      <c r="I15" s="1"/>
      <c r="L15" s="1"/>
      <c r="M15" s="1"/>
      <c r="N15" s="1"/>
      <c r="O15" s="1"/>
      <c r="P15" s="1"/>
      <c r="R15" s="1"/>
    </row>
    <row r="16" spans="1:25" x14ac:dyDescent="0.2">
      <c r="F16" s="1"/>
      <c r="H16" s="1"/>
      <c r="I16" s="1"/>
      <c r="L16" s="1"/>
      <c r="M16" s="1"/>
      <c r="N16" s="1"/>
      <c r="O16" s="1"/>
      <c r="P16" s="1"/>
      <c r="R16" s="1"/>
    </row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</sheetData>
  <mergeCells count="1">
    <mergeCell ref="E1:U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tabSelected="1" topLeftCell="B1" zoomScale="112" zoomScaleNormal="112" workbookViewId="0">
      <selection activeCell="AE4" sqref="AE4"/>
    </sheetView>
  </sheetViews>
  <sheetFormatPr defaultColWidth="10.33203125" defaultRowHeight="10.199999999999999" x14ac:dyDescent="0.2"/>
  <cols>
    <col min="1" max="1" width="10.33203125" style="1"/>
    <col min="2" max="2" width="12.5546875" style="1" customWidth="1"/>
    <col min="3" max="3" width="10.33203125" style="1"/>
    <col min="4" max="4" width="9.5546875" style="1" customWidth="1"/>
    <col min="5" max="6" width="7.109375" style="1" customWidth="1"/>
    <col min="7" max="7" width="7.109375" style="31" customWidth="1"/>
    <col min="8" max="8" width="7.88671875" style="1" customWidth="1"/>
    <col min="9" max="9" width="7.109375" style="9" customWidth="1"/>
    <col min="10" max="10" width="7.5546875" style="31" customWidth="1"/>
    <col min="11" max="11" width="7.88671875" style="1" customWidth="1"/>
    <col min="12" max="12" width="7.33203125" style="1" customWidth="1"/>
    <col min="13" max="14" width="9.6640625" style="31" customWidth="1"/>
    <col min="15" max="15" width="7.44140625" style="31" customWidth="1"/>
    <col min="16" max="16" width="9.6640625" style="31" hidden="1" customWidth="1"/>
    <col min="17" max="17" width="10.6640625" style="31" customWidth="1"/>
    <col min="18" max="18" width="7.109375" style="31" hidden="1" customWidth="1"/>
    <col min="19" max="19" width="9.44140625" style="35" customWidth="1"/>
    <col min="20" max="21" width="0" style="1" hidden="1" customWidth="1"/>
    <col min="22" max="22" width="11.109375" style="1" bestFit="1" customWidth="1"/>
    <col min="23" max="23" width="10.88671875" style="1" hidden="1" customWidth="1"/>
    <col min="24" max="24" width="10.88671875" style="1" bestFit="1" customWidth="1"/>
    <col min="25" max="25" width="10.33203125" style="1"/>
    <col min="26" max="26" width="10.88671875" style="1" hidden="1" customWidth="1"/>
    <col min="27" max="27" width="10.6640625" style="1" hidden="1" customWidth="1"/>
    <col min="28" max="28" width="0" style="1" hidden="1" customWidth="1"/>
    <col min="29" max="16384" width="10.33203125" style="1"/>
  </cols>
  <sheetData>
    <row r="1" spans="1:28" ht="11.25" customHeight="1" x14ac:dyDescent="0.2">
      <c r="G1" s="1"/>
      <c r="I1" s="1"/>
      <c r="J1" s="1"/>
      <c r="M1" s="1"/>
      <c r="N1" s="1"/>
      <c r="O1" s="1"/>
      <c r="P1" s="1"/>
      <c r="Q1" s="1"/>
      <c r="R1" s="1"/>
      <c r="S1" s="1"/>
      <c r="X1" s="62" t="s">
        <v>71</v>
      </c>
      <c r="Y1" s="62"/>
    </row>
    <row r="2" spans="1:28" ht="15.6" x14ac:dyDescent="0.3">
      <c r="F2" s="86" t="s">
        <v>52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4" spans="1:28" ht="84" customHeight="1" x14ac:dyDescent="0.2">
      <c r="A4" s="3" t="s">
        <v>15</v>
      </c>
      <c r="B4" s="3" t="s">
        <v>2</v>
      </c>
      <c r="C4" s="3"/>
      <c r="D4" s="4" t="s">
        <v>3</v>
      </c>
      <c r="E4" s="4" t="s">
        <v>10</v>
      </c>
      <c r="F4" s="4" t="s">
        <v>11</v>
      </c>
      <c r="G4" s="72" t="s">
        <v>0</v>
      </c>
      <c r="H4" s="4" t="s">
        <v>8</v>
      </c>
      <c r="I4" s="6" t="s">
        <v>5</v>
      </c>
      <c r="J4" s="72" t="s">
        <v>4</v>
      </c>
      <c r="K4" s="4" t="s">
        <v>9</v>
      </c>
      <c r="L4" s="6" t="s">
        <v>54</v>
      </c>
      <c r="M4" s="76" t="s">
        <v>1</v>
      </c>
      <c r="N4" s="76" t="s">
        <v>20</v>
      </c>
      <c r="O4" s="76" t="s">
        <v>67</v>
      </c>
      <c r="P4" s="76" t="s">
        <v>68</v>
      </c>
      <c r="Q4" s="76" t="s">
        <v>69</v>
      </c>
      <c r="R4" s="78" t="s">
        <v>61</v>
      </c>
      <c r="S4" s="79" t="s">
        <v>70</v>
      </c>
      <c r="T4" s="14" t="s">
        <v>6</v>
      </c>
      <c r="U4" s="14" t="s">
        <v>7</v>
      </c>
      <c r="V4" s="3" t="s">
        <v>43</v>
      </c>
      <c r="X4" s="3" t="s">
        <v>44</v>
      </c>
      <c r="Y4" s="3" t="s">
        <v>55</v>
      </c>
      <c r="Z4" s="3" t="s">
        <v>7</v>
      </c>
    </row>
    <row r="5" spans="1:28" ht="20.399999999999999" x14ac:dyDescent="0.2">
      <c r="A5" s="63" t="s">
        <v>32</v>
      </c>
      <c r="B5" s="8" t="s">
        <v>41</v>
      </c>
      <c r="C5" s="29" t="s">
        <v>22</v>
      </c>
      <c r="D5" s="3"/>
      <c r="E5" s="39">
        <v>19.760000000000002</v>
      </c>
      <c r="F5" s="39">
        <v>22.04</v>
      </c>
      <c r="G5" s="61">
        <f>(E5*6.5+F5*5.5)/12+D5</f>
        <v>20.805</v>
      </c>
      <c r="H5" s="3"/>
      <c r="I5" s="8"/>
      <c r="J5" s="61">
        <v>0</v>
      </c>
      <c r="K5" s="3">
        <v>10</v>
      </c>
      <c r="L5" s="3">
        <v>8650</v>
      </c>
      <c r="M5" s="61">
        <f t="shared" ref="M5" si="0">L5/K5</f>
        <v>865</v>
      </c>
      <c r="N5" s="61">
        <f>(G5*M5)/100</f>
        <v>179.96325000000002</v>
      </c>
      <c r="O5" s="61">
        <v>54</v>
      </c>
      <c r="P5" s="61">
        <v>7520</v>
      </c>
      <c r="Q5" s="61">
        <v>87200.56</v>
      </c>
      <c r="R5" s="80">
        <v>54</v>
      </c>
      <c r="S5" s="81">
        <f>(G5*R5*M5)/100+D5*J5*R5</f>
        <v>9718.0155000000013</v>
      </c>
      <c r="V5" s="16">
        <f>S5*10</f>
        <v>97180.155000000013</v>
      </c>
      <c r="W5" s="16">
        <v>97180.160000000003</v>
      </c>
      <c r="X5" s="16">
        <f>V5</f>
        <v>97180.155000000013</v>
      </c>
      <c r="Y5" s="16">
        <f>V5</f>
        <v>97180.155000000013</v>
      </c>
      <c r="Z5" s="3">
        <v>12</v>
      </c>
      <c r="AA5" s="51">
        <f>V5/R5</f>
        <v>1799.6325000000002</v>
      </c>
      <c r="AB5" s="51">
        <f>AA5*AA20</f>
        <v>69893.932674690004</v>
      </c>
    </row>
    <row r="6" spans="1:28" ht="24" customHeight="1" x14ac:dyDescent="0.2">
      <c r="A6" s="64"/>
      <c r="B6" s="8" t="s">
        <v>37</v>
      </c>
      <c r="C6" s="29" t="s">
        <v>22</v>
      </c>
      <c r="D6" s="3"/>
      <c r="E6" s="39">
        <v>19.760000000000002</v>
      </c>
      <c r="F6" s="39">
        <v>22.04</v>
      </c>
      <c r="G6" s="61">
        <f t="shared" ref="G6:G11" si="1">(E6*6.5+F6*5.5)/12+D6</f>
        <v>20.805</v>
      </c>
      <c r="H6" s="3"/>
      <c r="I6" s="8"/>
      <c r="J6" s="61">
        <v>0</v>
      </c>
      <c r="K6" s="3">
        <v>12</v>
      </c>
      <c r="L6" s="3">
        <v>13248</v>
      </c>
      <c r="M6" s="61">
        <f>L6/K6</f>
        <v>1104</v>
      </c>
      <c r="N6" s="61">
        <f t="shared" ref="N6:N13" si="2">(G6*M6)/100</f>
        <v>229.68720000000002</v>
      </c>
      <c r="O6" s="61">
        <v>54</v>
      </c>
      <c r="P6" s="61">
        <f>(G6*M6)/100*O6</f>
        <v>12403.108800000002</v>
      </c>
      <c r="Q6" s="61">
        <v>130805.43</v>
      </c>
      <c r="R6" s="80">
        <v>54</v>
      </c>
      <c r="S6" s="81">
        <f>(G6*R6*M6)/100+D6*J6*R6</f>
        <v>12403.108800000002</v>
      </c>
      <c r="V6" s="16">
        <f>S6*12</f>
        <v>148837.30560000002</v>
      </c>
      <c r="W6" s="16">
        <v>148837.31</v>
      </c>
      <c r="X6" s="16">
        <f t="shared" ref="X6:X26" si="3">V6</f>
        <v>148837.30560000002</v>
      </c>
      <c r="Y6" s="16">
        <f t="shared" ref="Y6:Y19" si="4">V6</f>
        <v>148837.30560000002</v>
      </c>
      <c r="Z6" s="3">
        <v>12</v>
      </c>
      <c r="AA6" s="51">
        <f>V6/R6</f>
        <v>2756.2464000000004</v>
      </c>
      <c r="AB6" s="51">
        <f>AA6*AA20</f>
        <v>107046.80000858881</v>
      </c>
    </row>
    <row r="7" spans="1:28" ht="20.399999999999999" x14ac:dyDescent="0.2">
      <c r="A7" s="64"/>
      <c r="B7" s="8" t="s">
        <v>28</v>
      </c>
      <c r="C7" s="29" t="s">
        <v>42</v>
      </c>
      <c r="D7" s="3"/>
      <c r="E7" s="39">
        <v>9.89</v>
      </c>
      <c r="F7" s="39">
        <v>11.26</v>
      </c>
      <c r="G7" s="61">
        <f t="shared" si="1"/>
        <v>10.517916666666666</v>
      </c>
      <c r="H7" s="3"/>
      <c r="I7" s="8"/>
      <c r="J7" s="61">
        <v>0</v>
      </c>
      <c r="K7" s="3">
        <v>12</v>
      </c>
      <c r="L7" s="3">
        <v>6960</v>
      </c>
      <c r="M7" s="61">
        <f t="shared" ref="M7:M13" si="5">L7/K7</f>
        <v>580</v>
      </c>
      <c r="N7" s="61">
        <f t="shared" si="2"/>
        <v>61.003916666666662</v>
      </c>
      <c r="O7" s="61">
        <v>54</v>
      </c>
      <c r="P7" s="61">
        <f>(G7*M7)/100*O7</f>
        <v>3294.2114999999999</v>
      </c>
      <c r="Q7" s="61">
        <f>(L7*G7)/100*O7</f>
        <v>39530.538</v>
      </c>
      <c r="R7" s="80">
        <v>54</v>
      </c>
      <c r="S7" s="81">
        <f>(G7*R7*M7)/100+D7*J7*R7</f>
        <v>3294.2114999999994</v>
      </c>
      <c r="V7" s="16">
        <f>S7*12</f>
        <v>39530.537999999993</v>
      </c>
      <c r="W7" s="61">
        <v>39530.54</v>
      </c>
      <c r="X7" s="16">
        <f t="shared" si="3"/>
        <v>39530.537999999993</v>
      </c>
      <c r="Y7" s="16">
        <f t="shared" si="4"/>
        <v>39530.537999999993</v>
      </c>
      <c r="Z7" s="3">
        <v>12</v>
      </c>
      <c r="AA7" s="51">
        <f>V7/R7</f>
        <v>732.04699999999991</v>
      </c>
      <c r="AB7" s="51">
        <f>AA7*AA20</f>
        <v>28431.162324923993</v>
      </c>
    </row>
    <row r="8" spans="1:28" ht="20.399999999999999" hidden="1" x14ac:dyDescent="0.2">
      <c r="A8" s="64"/>
      <c r="B8" s="52" t="s">
        <v>29</v>
      </c>
      <c r="C8" s="29" t="s">
        <v>24</v>
      </c>
      <c r="D8" s="3" t="s">
        <v>38</v>
      </c>
      <c r="E8" s="39"/>
      <c r="F8" s="39"/>
      <c r="G8" s="61"/>
      <c r="H8" s="3"/>
      <c r="I8" s="8"/>
      <c r="J8" s="61"/>
      <c r="K8" s="3"/>
      <c r="L8" s="3"/>
      <c r="M8" s="61" t="e">
        <f t="shared" si="5"/>
        <v>#DIV/0!</v>
      </c>
      <c r="N8" s="61"/>
      <c r="O8" s="61">
        <v>52.9</v>
      </c>
      <c r="P8" s="61"/>
      <c r="Q8" s="61"/>
      <c r="R8" s="80"/>
      <c r="S8" s="81"/>
      <c r="V8" s="16">
        <f>S8*12</f>
        <v>0</v>
      </c>
      <c r="W8" s="16">
        <f>R8/10*12</f>
        <v>0</v>
      </c>
      <c r="X8" s="16">
        <f t="shared" si="3"/>
        <v>0</v>
      </c>
      <c r="Y8" s="16">
        <f t="shared" si="4"/>
        <v>0</v>
      </c>
      <c r="Z8" s="3"/>
      <c r="AA8" s="51" t="e">
        <f>V8/R8</f>
        <v>#DIV/0!</v>
      </c>
      <c r="AB8" s="51" t="e">
        <f>AA8*AA20</f>
        <v>#DIV/0!</v>
      </c>
    </row>
    <row r="9" spans="1:28" ht="27" hidden="1" customHeight="1" x14ac:dyDescent="0.2">
      <c r="A9" s="64"/>
      <c r="B9" s="52" t="s">
        <v>13</v>
      </c>
      <c r="C9" s="29" t="s">
        <v>22</v>
      </c>
      <c r="D9" s="3" t="s">
        <v>38</v>
      </c>
      <c r="E9" s="39"/>
      <c r="F9" s="39"/>
      <c r="G9" s="61"/>
      <c r="H9" s="3"/>
      <c r="I9" s="8"/>
      <c r="J9" s="61"/>
      <c r="K9" s="3"/>
      <c r="L9" s="3"/>
      <c r="M9" s="61" t="e">
        <f t="shared" si="5"/>
        <v>#DIV/0!</v>
      </c>
      <c r="N9" s="61"/>
      <c r="O9" s="61">
        <v>52.9</v>
      </c>
      <c r="P9" s="61"/>
      <c r="Q9" s="61"/>
      <c r="R9" s="80"/>
      <c r="S9" s="81"/>
      <c r="V9" s="16">
        <f>S9*12</f>
        <v>0</v>
      </c>
      <c r="W9" s="16">
        <f>R9/10*12</f>
        <v>0</v>
      </c>
      <c r="X9" s="16">
        <f t="shared" si="3"/>
        <v>0</v>
      </c>
      <c r="Y9" s="16">
        <f t="shared" si="4"/>
        <v>0</v>
      </c>
      <c r="Z9" s="3"/>
      <c r="AA9" s="51" t="e">
        <f>V9/R9</f>
        <v>#DIV/0!</v>
      </c>
      <c r="AB9" s="51" t="e">
        <f>AA9*AA20</f>
        <v>#DIV/0!</v>
      </c>
    </row>
    <row r="10" spans="1:28" ht="22.95" customHeight="1" x14ac:dyDescent="0.2">
      <c r="A10" s="64"/>
      <c r="B10" s="29" t="s">
        <v>53</v>
      </c>
      <c r="C10" s="29" t="s">
        <v>22</v>
      </c>
      <c r="D10" s="3"/>
      <c r="E10" s="39">
        <v>33.6</v>
      </c>
      <c r="F10" s="39">
        <v>38.4</v>
      </c>
      <c r="G10" s="61">
        <f t="shared" si="1"/>
        <v>35.800000000000004</v>
      </c>
      <c r="H10" s="3"/>
      <c r="I10" s="8"/>
      <c r="J10" s="61"/>
      <c r="K10" s="3">
        <v>11</v>
      </c>
      <c r="L10" s="3">
        <v>8199</v>
      </c>
      <c r="M10" s="61">
        <f t="shared" si="5"/>
        <v>745.36363636363637</v>
      </c>
      <c r="N10" s="61">
        <f t="shared" si="2"/>
        <v>266.84018181818186</v>
      </c>
      <c r="O10" s="61">
        <v>54</v>
      </c>
      <c r="P10" s="61">
        <v>11105.2</v>
      </c>
      <c r="Q10" s="61">
        <f>(L10*G10)/100*O10-1000</f>
        <v>157503.068</v>
      </c>
      <c r="R10" s="80">
        <v>54</v>
      </c>
      <c r="S10" s="81">
        <f>(G10*R10*M10)/100+D10*J10*R10</f>
        <v>14409.36981818182</v>
      </c>
      <c r="V10" s="16">
        <f>S10*11</f>
        <v>158503.06800000003</v>
      </c>
      <c r="W10" s="16">
        <v>158503.07</v>
      </c>
      <c r="X10" s="16">
        <f t="shared" si="3"/>
        <v>158503.06800000003</v>
      </c>
      <c r="Y10" s="16">
        <f t="shared" si="4"/>
        <v>158503.06800000003</v>
      </c>
      <c r="Z10" s="3">
        <v>12</v>
      </c>
      <c r="AA10" s="51">
        <f>V10/R10</f>
        <v>2935.2420000000006</v>
      </c>
      <c r="AB10" s="51">
        <f>AA10*AA20</f>
        <v>113998.61178986401</v>
      </c>
    </row>
    <row r="11" spans="1:28" ht="20.399999999999999" x14ac:dyDescent="0.2">
      <c r="A11" s="64"/>
      <c r="B11" s="29" t="s">
        <v>30</v>
      </c>
      <c r="C11" s="29" t="s">
        <v>22</v>
      </c>
      <c r="D11" s="3"/>
      <c r="E11" s="39">
        <v>26.88</v>
      </c>
      <c r="F11" s="39">
        <v>32.380000000000003</v>
      </c>
      <c r="G11" s="61">
        <f t="shared" si="1"/>
        <v>29.400833333333335</v>
      </c>
      <c r="H11" s="3"/>
      <c r="I11" s="8"/>
      <c r="J11" s="61">
        <v>0</v>
      </c>
      <c r="K11" s="3">
        <v>12</v>
      </c>
      <c r="L11" s="3">
        <v>21993</v>
      </c>
      <c r="M11" s="61">
        <f t="shared" si="5"/>
        <v>1832.75</v>
      </c>
      <c r="N11" s="61">
        <f t="shared" si="2"/>
        <v>538.84377291666669</v>
      </c>
      <c r="O11" s="61">
        <v>67.900000000000006</v>
      </c>
      <c r="P11" s="61">
        <f>(G11*M11)/100*O11</f>
        <v>36587.492181041671</v>
      </c>
      <c r="Q11" s="61">
        <v>424049.91</v>
      </c>
      <c r="R11" s="80">
        <v>67.900000000000006</v>
      </c>
      <c r="S11" s="81">
        <f>(G11*R11*M11)/100+D11*J11*R11</f>
        <v>36587.492181041671</v>
      </c>
      <c r="V11" s="16">
        <f>S11*12</f>
        <v>439049.90617250005</v>
      </c>
      <c r="W11" s="16">
        <v>439049.91</v>
      </c>
      <c r="X11" s="16">
        <f t="shared" si="3"/>
        <v>439049.90617250005</v>
      </c>
      <c r="Y11" s="16">
        <f t="shared" si="4"/>
        <v>439049.90617250005</v>
      </c>
      <c r="Z11" s="3">
        <v>12</v>
      </c>
      <c r="AA11" s="51">
        <f>V11/R11</f>
        <v>6466.1252750000003</v>
      </c>
      <c r="AB11" s="51">
        <f>AA11*AA20</f>
        <v>251130.67508892028</v>
      </c>
    </row>
    <row r="12" spans="1:28" ht="20.399999999999999" x14ac:dyDescent="0.2">
      <c r="A12" s="64"/>
      <c r="B12" s="29" t="s">
        <v>31</v>
      </c>
      <c r="C12" s="29" t="s">
        <v>22</v>
      </c>
      <c r="D12" s="3"/>
      <c r="E12" s="39">
        <v>15.85</v>
      </c>
      <c r="F12" s="39">
        <v>22.04</v>
      </c>
      <c r="G12" s="61">
        <f>(E12*6.5+F12*5.5)/12+D12</f>
        <v>18.687083333333334</v>
      </c>
      <c r="H12" s="3"/>
      <c r="I12" s="8"/>
      <c r="J12" s="61">
        <v>0</v>
      </c>
      <c r="K12" s="3">
        <v>8</v>
      </c>
      <c r="L12" s="3">
        <v>37585</v>
      </c>
      <c r="M12" s="61">
        <f t="shared" si="5"/>
        <v>4698.125</v>
      </c>
      <c r="N12" s="61">
        <f t="shared" si="2"/>
        <v>877.94253385416664</v>
      </c>
      <c r="O12" s="61">
        <v>52.9</v>
      </c>
      <c r="P12" s="61">
        <v>46443.6</v>
      </c>
      <c r="Q12" s="61">
        <v>269545.45</v>
      </c>
      <c r="R12" s="80">
        <v>52.95</v>
      </c>
      <c r="S12" s="81">
        <f>(G12*R12*M12)/100+D12*J12*R12</f>
        <v>46487.057167578132</v>
      </c>
      <c r="V12" s="16">
        <f>S12*12</f>
        <v>557844.68601093756</v>
      </c>
      <c r="W12" s="61">
        <v>557844.68999999994</v>
      </c>
      <c r="X12" s="16">
        <f t="shared" si="3"/>
        <v>557844.68601093756</v>
      </c>
      <c r="Y12" s="16">
        <f t="shared" si="4"/>
        <v>557844.68601093756</v>
      </c>
      <c r="Z12" s="3">
        <v>12</v>
      </c>
      <c r="AA12" s="51">
        <f>V12/R12</f>
        <v>10535.310406250001</v>
      </c>
      <c r="AB12" s="51">
        <f>AA12*AA20</f>
        <v>409169.24774441362</v>
      </c>
    </row>
    <row r="13" spans="1:28" ht="27.75" customHeight="1" x14ac:dyDescent="0.2">
      <c r="A13" s="64"/>
      <c r="B13" s="29" t="s">
        <v>17</v>
      </c>
      <c r="C13" s="29" t="s">
        <v>22</v>
      </c>
      <c r="D13" s="15"/>
      <c r="E13" s="39">
        <v>35.200000000000003</v>
      </c>
      <c r="F13" s="39">
        <v>40</v>
      </c>
      <c r="G13" s="61">
        <f>(E13*6.5+F13*5.5)/12</f>
        <v>37.4</v>
      </c>
      <c r="H13" s="39"/>
      <c r="I13" s="40"/>
      <c r="J13" s="61">
        <v>0</v>
      </c>
      <c r="K13" s="3">
        <v>11</v>
      </c>
      <c r="L13" s="3">
        <v>13709</v>
      </c>
      <c r="M13" s="61">
        <f t="shared" si="5"/>
        <v>1246.2727272727273</v>
      </c>
      <c r="N13" s="61">
        <f t="shared" si="2"/>
        <v>466.10599999999999</v>
      </c>
      <c r="O13" s="61">
        <v>52.9</v>
      </c>
      <c r="P13" s="61">
        <f>(G13*M13)/100*O13</f>
        <v>24657.007399999999</v>
      </c>
      <c r="Q13" s="61">
        <f>(L13*G13)/100*O13</f>
        <v>271227.08140000002</v>
      </c>
      <c r="R13" s="80">
        <v>52.95</v>
      </c>
      <c r="S13" s="81">
        <f>(G13*R13*M13)/100+D13*J13*R13</f>
        <v>24680.312699999999</v>
      </c>
      <c r="V13" s="16">
        <f>S13*11</f>
        <v>271483.43969999999</v>
      </c>
      <c r="W13" s="16">
        <v>271483.44</v>
      </c>
      <c r="X13" s="16">
        <f t="shared" si="3"/>
        <v>271483.43969999999</v>
      </c>
      <c r="Y13" s="16">
        <f t="shared" si="4"/>
        <v>271483.43969999999</v>
      </c>
      <c r="Z13" s="3">
        <v>12</v>
      </c>
      <c r="AA13" s="51">
        <f>V13/R13</f>
        <v>5127.1659999999993</v>
      </c>
      <c r="AB13" s="51">
        <f>AA13*AA20</f>
        <v>199128.31937407196</v>
      </c>
    </row>
    <row r="14" spans="1:28" ht="23.25" customHeight="1" x14ac:dyDescent="0.2">
      <c r="A14" s="64"/>
      <c r="B14" s="29" t="s">
        <v>12</v>
      </c>
      <c r="C14" s="29" t="s">
        <v>23</v>
      </c>
      <c r="D14" s="39">
        <v>9.8000000000000007</v>
      </c>
      <c r="E14" s="39"/>
      <c r="F14" s="39"/>
      <c r="G14" s="61">
        <f>(E14*6.5+F14*5.5)/12+D14</f>
        <v>9.8000000000000007</v>
      </c>
      <c r="H14" s="39">
        <v>2</v>
      </c>
      <c r="I14" s="40">
        <v>6</v>
      </c>
      <c r="J14" s="61">
        <f>I14/H14</f>
        <v>3</v>
      </c>
      <c r="K14" s="3">
        <v>2</v>
      </c>
      <c r="L14" s="3"/>
      <c r="M14" s="61">
        <v>0</v>
      </c>
      <c r="N14" s="61">
        <f>J14*D14</f>
        <v>29.400000000000002</v>
      </c>
      <c r="O14" s="61">
        <v>67.900000000000006</v>
      </c>
      <c r="P14" s="61">
        <f>(G14*J14)*O14</f>
        <v>1996.2600000000002</v>
      </c>
      <c r="Q14" s="61">
        <f>P14*2</f>
        <v>3992.5200000000004</v>
      </c>
      <c r="R14" s="80">
        <v>67.900000000000006</v>
      </c>
      <c r="S14" s="81">
        <f>G14*J14*R14</f>
        <v>1996.2600000000002</v>
      </c>
      <c r="V14" s="16">
        <f>S14*1</f>
        <v>1996.2600000000002</v>
      </c>
      <c r="W14" s="16">
        <v>665.42</v>
      </c>
      <c r="X14" s="16">
        <f t="shared" si="3"/>
        <v>1996.2600000000002</v>
      </c>
      <c r="Y14" s="16">
        <f t="shared" si="4"/>
        <v>1996.2600000000002</v>
      </c>
      <c r="Z14" s="3">
        <v>12</v>
      </c>
      <c r="AA14" s="51">
        <f>V14/R14</f>
        <v>29.400000000000002</v>
      </c>
      <c r="AB14" s="51">
        <f>AA14*AA20</f>
        <v>1141.8340248</v>
      </c>
    </row>
    <row r="15" spans="1:28" ht="23.25" customHeight="1" x14ac:dyDescent="0.2">
      <c r="A15" s="64"/>
      <c r="B15" s="3" t="s">
        <v>21</v>
      </c>
      <c r="C15" s="29" t="s">
        <v>23</v>
      </c>
      <c r="D15" s="39">
        <v>9.8000000000000007</v>
      </c>
      <c r="E15" s="39"/>
      <c r="F15" s="39"/>
      <c r="G15" s="61">
        <v>9.8000000000000007</v>
      </c>
      <c r="H15" s="39">
        <v>6</v>
      </c>
      <c r="I15" s="40">
        <v>200</v>
      </c>
      <c r="J15" s="61">
        <f>I15/H15</f>
        <v>33.333333333333336</v>
      </c>
      <c r="K15" s="3">
        <v>6</v>
      </c>
      <c r="L15" s="3"/>
      <c r="M15" s="61">
        <v>0</v>
      </c>
      <c r="N15" s="61">
        <f>J15*D15</f>
        <v>326.66666666666669</v>
      </c>
      <c r="O15" s="61">
        <v>67.900000000000006</v>
      </c>
      <c r="P15" s="61">
        <f>(G15*J15)*O15</f>
        <v>22180.666666666672</v>
      </c>
      <c r="Q15" s="61">
        <f>P15*6</f>
        <v>133084.00000000003</v>
      </c>
      <c r="R15" s="80">
        <v>67.900000000000006</v>
      </c>
      <c r="S15" s="81">
        <f>G15*J15*R15</f>
        <v>22180.666666666672</v>
      </c>
      <c r="V15" s="16">
        <f>S15*6</f>
        <v>133084.00000000003</v>
      </c>
      <c r="W15" s="16"/>
      <c r="X15" s="16">
        <f t="shared" si="3"/>
        <v>133084.00000000003</v>
      </c>
      <c r="Y15" s="16">
        <f t="shared" si="4"/>
        <v>133084.00000000003</v>
      </c>
      <c r="Z15" s="3">
        <v>12</v>
      </c>
      <c r="AA15" s="51">
        <f>V15/R15</f>
        <v>1960.0000000000002</v>
      </c>
      <c r="AB15" s="51">
        <f>AA15*AA20</f>
        <v>76122.268320000003</v>
      </c>
    </row>
    <row r="16" spans="1:28" ht="23.25" customHeight="1" x14ac:dyDescent="0.2">
      <c r="A16" s="65"/>
      <c r="B16" s="46" t="s">
        <v>27</v>
      </c>
      <c r="C16" s="47" t="s">
        <v>22</v>
      </c>
      <c r="D16" s="48"/>
      <c r="E16" s="49">
        <v>33.6</v>
      </c>
      <c r="F16" s="49">
        <v>38.4</v>
      </c>
      <c r="G16" s="73">
        <f>(E16*6.5+F16*5.5)/12</f>
        <v>35.800000000000004</v>
      </c>
      <c r="H16" s="39"/>
      <c r="I16" s="40"/>
      <c r="J16" s="61">
        <v>0</v>
      </c>
      <c r="K16" s="50">
        <v>10</v>
      </c>
      <c r="L16" s="47">
        <v>13533</v>
      </c>
      <c r="M16" s="61">
        <f t="shared" ref="M16:M18" si="6">L16/K16</f>
        <v>1353.3</v>
      </c>
      <c r="N16" s="73">
        <f>(G16*M16)/100</f>
        <v>484.48140000000006</v>
      </c>
      <c r="O16" s="61">
        <v>52.95</v>
      </c>
      <c r="P16" s="73">
        <f>(G16*M16)/100*O16</f>
        <v>25653.290130000005</v>
      </c>
      <c r="Q16" s="61">
        <f>(L16*G16)/100*O16-45000</f>
        <v>211532.90130000009</v>
      </c>
      <c r="R16" s="80">
        <v>52.95</v>
      </c>
      <c r="S16" s="81">
        <f>(G16*R16*M16)/100+D16*J16*R16</f>
        <v>25653.290130000001</v>
      </c>
      <c r="V16" s="16">
        <f>S16*10</f>
        <v>256532.90130000003</v>
      </c>
      <c r="W16" s="61">
        <v>256532.9</v>
      </c>
      <c r="X16" s="16">
        <f t="shared" si="3"/>
        <v>256532.90130000003</v>
      </c>
      <c r="Y16" s="16">
        <f t="shared" si="4"/>
        <v>256532.90130000003</v>
      </c>
      <c r="Z16" s="3">
        <v>12</v>
      </c>
      <c r="AA16" s="51">
        <f>V16/R16</f>
        <v>4844.8140000000003</v>
      </c>
      <c r="AB16" s="51">
        <f>AA16*AA20</f>
        <v>188162.36289208799</v>
      </c>
    </row>
    <row r="17" spans="1:28" ht="23.25" customHeight="1" x14ac:dyDescent="0.2">
      <c r="A17" s="65"/>
      <c r="B17" s="3" t="s">
        <v>33</v>
      </c>
      <c r="C17" s="3" t="s">
        <v>22</v>
      </c>
      <c r="D17" s="15"/>
      <c r="E17" s="39">
        <v>26.88</v>
      </c>
      <c r="F17" s="39">
        <v>30.11</v>
      </c>
      <c r="G17" s="73">
        <f t="shared" ref="G17:G18" si="7">(E17*6.5+F17*5.5)/12</f>
        <v>28.360416666666666</v>
      </c>
      <c r="H17" s="39"/>
      <c r="I17" s="40"/>
      <c r="J17" s="61">
        <v>0</v>
      </c>
      <c r="K17" s="3">
        <v>12</v>
      </c>
      <c r="L17" s="3">
        <v>13734</v>
      </c>
      <c r="M17" s="61">
        <f t="shared" si="6"/>
        <v>1144.5</v>
      </c>
      <c r="N17" s="73">
        <f t="shared" ref="N17:N18" si="8">(G17*M17)/100</f>
        <v>324.58496875000003</v>
      </c>
      <c r="O17" s="61">
        <v>52.95</v>
      </c>
      <c r="P17" s="73">
        <f>(G17*M17)/100*O17</f>
        <v>17186.774095312503</v>
      </c>
      <c r="Q17" s="61">
        <f>(L17*G17)/100*O17-35000</f>
        <v>171241.28914374998</v>
      </c>
      <c r="R17" s="80">
        <v>52.95</v>
      </c>
      <c r="S17" s="81">
        <f>(G17*R17*M17)/100+D17*J17*R17</f>
        <v>17186.774095312499</v>
      </c>
      <c r="T17" s="3"/>
      <c r="U17" s="3"/>
      <c r="V17" s="16">
        <f>S17*12</f>
        <v>206241.28914374998</v>
      </c>
      <c r="W17" s="61">
        <v>206241.29</v>
      </c>
      <c r="X17" s="16">
        <f t="shared" si="3"/>
        <v>206241.28914374998</v>
      </c>
      <c r="Y17" s="16">
        <f t="shared" si="4"/>
        <v>206241.28914374998</v>
      </c>
      <c r="Z17" s="3">
        <v>12</v>
      </c>
      <c r="AA17" s="51">
        <f>V17/R17</f>
        <v>3895.0196249999995</v>
      </c>
      <c r="AB17" s="51">
        <f>AA17*AA20</f>
        <v>151274.35153363046</v>
      </c>
    </row>
    <row r="18" spans="1:28" ht="23.25" customHeight="1" x14ac:dyDescent="0.2">
      <c r="A18" s="66"/>
      <c r="B18" s="29" t="s">
        <v>34</v>
      </c>
      <c r="C18" s="3" t="s">
        <v>22</v>
      </c>
      <c r="D18" s="15"/>
      <c r="E18" s="39">
        <v>26.88</v>
      </c>
      <c r="F18" s="39">
        <v>30.72</v>
      </c>
      <c r="G18" s="73">
        <f t="shared" si="7"/>
        <v>28.639999999999997</v>
      </c>
      <c r="H18" s="39"/>
      <c r="I18" s="40"/>
      <c r="J18" s="61">
        <v>0</v>
      </c>
      <c r="K18" s="3">
        <v>12</v>
      </c>
      <c r="L18" s="3">
        <v>15460</v>
      </c>
      <c r="M18" s="61">
        <f t="shared" si="6"/>
        <v>1288.3333333333333</v>
      </c>
      <c r="N18" s="73">
        <f t="shared" si="8"/>
        <v>368.97866666666664</v>
      </c>
      <c r="O18" s="61">
        <v>67.900000000000006</v>
      </c>
      <c r="P18" s="73">
        <f>(G18*M18)/100*O18</f>
        <v>25053.651466666666</v>
      </c>
      <c r="Q18" s="61">
        <f>(L18*G18)/100*O18-18000</f>
        <v>282643.81760000001</v>
      </c>
      <c r="R18" s="80">
        <v>67.900000000000006</v>
      </c>
      <c r="S18" s="81">
        <f>(G18*R18*M18)/100+D18*J18*R18</f>
        <v>25053.651466666666</v>
      </c>
      <c r="T18" s="3"/>
      <c r="U18" s="3"/>
      <c r="V18" s="16">
        <f>S18*12</f>
        <v>300643.81760000001</v>
      </c>
      <c r="W18" s="61">
        <v>300643.82</v>
      </c>
      <c r="X18" s="16">
        <f t="shared" si="3"/>
        <v>300643.81760000001</v>
      </c>
      <c r="Y18" s="16">
        <f t="shared" si="4"/>
        <v>300643.81760000001</v>
      </c>
      <c r="Z18" s="3">
        <v>12</v>
      </c>
      <c r="AA18" s="51">
        <f>V18/R18</f>
        <v>4427.7439999999997</v>
      </c>
      <c r="AB18" s="51">
        <f>AA18*AA20</f>
        <v>171964.24327564798</v>
      </c>
    </row>
    <row r="19" spans="1:28" x14ac:dyDescent="0.2">
      <c r="A19" s="3"/>
      <c r="B19" s="58" t="s">
        <v>14</v>
      </c>
      <c r="C19" s="59"/>
      <c r="D19" s="59"/>
      <c r="E19" s="59"/>
      <c r="F19" s="59"/>
      <c r="G19" s="74"/>
      <c r="H19" s="59"/>
      <c r="I19" s="59"/>
      <c r="J19" s="74"/>
      <c r="K19" s="59"/>
      <c r="L19" s="59"/>
      <c r="M19" s="74"/>
      <c r="N19" s="74"/>
      <c r="O19" s="74"/>
      <c r="P19" s="82">
        <f>SUM(P5:P18)</f>
        <v>234081.26223968749</v>
      </c>
      <c r="Q19" s="83">
        <f>SUM(Q5:Q18)</f>
        <v>2182356.56544375</v>
      </c>
      <c r="R19" s="84"/>
      <c r="S19" s="81">
        <f>SUM(S5:S18)</f>
        <v>239650.21002544748</v>
      </c>
      <c r="T19" s="11">
        <f>SUM(T5:T14)</f>
        <v>0</v>
      </c>
      <c r="U19" s="11">
        <f>SUM(U5:U14)</f>
        <v>0</v>
      </c>
      <c r="V19" s="81">
        <f>SUM(V5:V18)+0.02</f>
        <v>2610927.3865271877</v>
      </c>
      <c r="W19" s="81">
        <f>SUM(W5:W18)</f>
        <v>2476512.5499999993</v>
      </c>
      <c r="X19" s="16">
        <f t="shared" si="3"/>
        <v>2610927.3865271877</v>
      </c>
      <c r="Y19" s="16">
        <f t="shared" si="4"/>
        <v>2610927.3865271877</v>
      </c>
      <c r="Z19" s="20">
        <v>12</v>
      </c>
      <c r="AA19" s="51" t="e">
        <f>SUM(AA5:AA18)</f>
        <v>#DIV/0!</v>
      </c>
      <c r="AB19" s="51" t="e">
        <f>SUM(AB5:AB18)</f>
        <v>#DIV/0!</v>
      </c>
    </row>
    <row r="20" spans="1:28" ht="10.8" hidden="1" thickBot="1" x14ac:dyDescent="0.25">
      <c r="N20" s="30" t="e">
        <f>N5+N6+N7+N8+N9+#REF!+#REF!+N10+N11+N12+#REF!+N13+N16+N17+N18</f>
        <v>#REF!</v>
      </c>
      <c r="O20" s="30">
        <v>34.369999999999997</v>
      </c>
      <c r="P20" s="35">
        <f>SUM(P5:P12)+P13+P16+P17+P18</f>
        <v>209904.33557302086</v>
      </c>
      <c r="Q20" s="34">
        <f>SUM(Q5:Q12)+Q13+Q16+Q17+Q18</f>
        <v>2045280.04544375</v>
      </c>
      <c r="R20" s="31">
        <v>39.049999999999997</v>
      </c>
      <c r="S20" s="35" t="e">
        <f>N20*R20</f>
        <v>#REF!</v>
      </c>
      <c r="V20" s="33" t="e">
        <f>S20*12</f>
        <v>#REF!</v>
      </c>
      <c r="W20" s="18"/>
      <c r="X20" s="16" t="e">
        <f t="shared" si="3"/>
        <v>#REF!</v>
      </c>
      <c r="AA20" s="1">
        <v>38.837891999999997</v>
      </c>
    </row>
    <row r="21" spans="1:28" hidden="1" x14ac:dyDescent="0.2">
      <c r="N21" s="30" t="e">
        <f>SUM(N15)+N14+#REF!</f>
        <v>#REF!</v>
      </c>
      <c r="O21" s="30">
        <v>36.979999999999997</v>
      </c>
      <c r="P21" s="35" t="e">
        <f>SUM(#REF!)+P14+P15</f>
        <v>#REF!</v>
      </c>
      <c r="Q21" s="35" t="e">
        <f>#REF!+Q14+Q15</f>
        <v>#REF!</v>
      </c>
      <c r="R21" s="31">
        <v>47.73</v>
      </c>
      <c r="S21" s="35" t="e">
        <f>N21*R21</f>
        <v>#REF!</v>
      </c>
      <c r="V21" s="33" t="e">
        <f>S21*12</f>
        <v>#REF!</v>
      </c>
      <c r="X21" s="16" t="e">
        <f t="shared" si="3"/>
        <v>#REF!</v>
      </c>
      <c r="AB21" s="51" t="e">
        <f>AB19-X22</f>
        <v>#DIV/0!</v>
      </c>
    </row>
    <row r="22" spans="1:28" ht="20.399999999999999" hidden="1" x14ac:dyDescent="0.2">
      <c r="N22" s="30" t="e">
        <f>SUM(N20:N21)</f>
        <v>#REF!</v>
      </c>
      <c r="O22" s="30"/>
      <c r="P22" s="30" t="e">
        <f>SUM(P20:P21)</f>
        <v>#REF!</v>
      </c>
      <c r="Q22" s="35" t="e">
        <f>SUM(Q20:Q21)</f>
        <v>#REF!</v>
      </c>
      <c r="S22" s="35" t="e">
        <f>S20+S21</f>
        <v>#REF!</v>
      </c>
      <c r="V22" s="33" t="e">
        <f>V20+V21</f>
        <v>#REF!</v>
      </c>
      <c r="W22" s="1" t="s">
        <v>35</v>
      </c>
      <c r="X22" s="16" t="e">
        <f t="shared" si="3"/>
        <v>#REF!</v>
      </c>
      <c r="Z22" s="1">
        <v>565406.56999999995</v>
      </c>
    </row>
    <row r="23" spans="1:28" hidden="1" x14ac:dyDescent="0.2">
      <c r="N23" s="30"/>
      <c r="O23" s="30"/>
      <c r="P23" s="30"/>
      <c r="Q23" s="30"/>
      <c r="W23" s="45" t="s">
        <v>36</v>
      </c>
      <c r="X23" s="16">
        <f t="shared" si="3"/>
        <v>0</v>
      </c>
    </row>
    <row r="24" spans="1:28" hidden="1" x14ac:dyDescent="0.2">
      <c r="N24" s="30"/>
      <c r="O24" s="30"/>
      <c r="P24" s="30"/>
      <c r="Q24" s="30"/>
      <c r="W24" s="45"/>
      <c r="X24" s="16">
        <f t="shared" si="3"/>
        <v>0</v>
      </c>
      <c r="Z24" s="31"/>
    </row>
    <row r="25" spans="1:28" hidden="1" x14ac:dyDescent="0.2">
      <c r="X25" s="16">
        <f t="shared" si="3"/>
        <v>0</v>
      </c>
    </row>
    <row r="26" spans="1:28" hidden="1" x14ac:dyDescent="0.2">
      <c r="X26" s="16">
        <f t="shared" si="3"/>
        <v>0</v>
      </c>
      <c r="Y26" s="33" t="e">
        <f>W19-X22</f>
        <v>#REF!</v>
      </c>
    </row>
    <row r="27" spans="1:28" x14ac:dyDescent="0.2">
      <c r="H27" s="9"/>
      <c r="K27" s="9"/>
      <c r="L27" s="9"/>
    </row>
    <row r="28" spans="1:28" ht="13.95" customHeight="1" x14ac:dyDescent="0.25"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</row>
    <row r="29" spans="1:28" x14ac:dyDescent="0.2">
      <c r="H29" s="9"/>
      <c r="K29" s="9"/>
      <c r="L29" s="9"/>
    </row>
    <row r="30" spans="1:28" x14ac:dyDescent="0.2">
      <c r="H30" s="9"/>
      <c r="K30" s="9"/>
      <c r="L30" s="9"/>
    </row>
    <row r="31" spans="1:28" ht="43.95" customHeight="1" x14ac:dyDescent="0.2">
      <c r="A31" s="70" t="s">
        <v>15</v>
      </c>
      <c r="B31" s="70" t="s">
        <v>2</v>
      </c>
      <c r="C31" s="67" t="s">
        <v>45</v>
      </c>
      <c r="D31" s="67"/>
      <c r="E31" s="67" t="s">
        <v>46</v>
      </c>
      <c r="F31" s="67"/>
      <c r="G31" s="69" t="s">
        <v>47</v>
      </c>
      <c r="H31" s="69"/>
      <c r="I31" s="69" t="s">
        <v>48</v>
      </c>
      <c r="J31" s="69"/>
      <c r="K31" s="69" t="s">
        <v>49</v>
      </c>
      <c r="L31" s="69"/>
      <c r="M31" s="77" t="s">
        <v>14</v>
      </c>
      <c r="N31" s="29" t="s">
        <v>43</v>
      </c>
      <c r="O31" s="29" t="s">
        <v>44</v>
      </c>
      <c r="P31" s="29" t="s">
        <v>55</v>
      </c>
      <c r="Q31" s="29" t="s">
        <v>55</v>
      </c>
      <c r="R31" s="85"/>
    </row>
    <row r="32" spans="1:28" ht="20.399999999999999" customHeight="1" x14ac:dyDescent="0.2">
      <c r="A32" s="70"/>
      <c r="B32" s="70"/>
      <c r="C32" s="17" t="s">
        <v>50</v>
      </c>
      <c r="D32" s="17" t="s">
        <v>51</v>
      </c>
      <c r="E32" s="17" t="s">
        <v>50</v>
      </c>
      <c r="F32" s="17" t="s">
        <v>51</v>
      </c>
      <c r="G32" s="75" t="s">
        <v>50</v>
      </c>
      <c r="H32" s="54" t="s">
        <v>51</v>
      </c>
      <c r="I32" s="54" t="s">
        <v>50</v>
      </c>
      <c r="J32" s="75" t="s">
        <v>51</v>
      </c>
      <c r="K32" s="54" t="s">
        <v>50</v>
      </c>
      <c r="L32" s="54" t="s">
        <v>51</v>
      </c>
      <c r="M32" s="75" t="s">
        <v>51</v>
      </c>
      <c r="N32" s="29"/>
      <c r="O32" s="29"/>
      <c r="P32" s="29"/>
      <c r="Q32" s="29"/>
    </row>
    <row r="33" spans="1:18" ht="20.399999999999999" x14ac:dyDescent="0.2">
      <c r="A33" s="67" t="s">
        <v>32</v>
      </c>
      <c r="B33" s="8" t="s">
        <v>41</v>
      </c>
      <c r="C33" s="3">
        <v>9</v>
      </c>
      <c r="D33" s="3">
        <v>2427.4299999999998</v>
      </c>
      <c r="E33" s="3">
        <v>6</v>
      </c>
      <c r="F33" s="3">
        <v>822</v>
      </c>
      <c r="G33" s="29">
        <v>0</v>
      </c>
      <c r="H33" s="3">
        <v>0</v>
      </c>
      <c r="I33" s="3">
        <v>0</v>
      </c>
      <c r="J33" s="29">
        <v>0</v>
      </c>
      <c r="K33" s="3">
        <v>0</v>
      </c>
      <c r="L33" s="3">
        <v>0</v>
      </c>
      <c r="M33" s="29">
        <f>D33+F33+H33+J33+L33</f>
        <v>3249.43</v>
      </c>
      <c r="N33" s="72" t="s">
        <v>66</v>
      </c>
      <c r="O33" s="72" t="s">
        <v>66</v>
      </c>
      <c r="P33" s="72" t="s">
        <v>66</v>
      </c>
      <c r="Q33" s="72" t="s">
        <v>66</v>
      </c>
      <c r="R33" s="72" t="s">
        <v>66</v>
      </c>
    </row>
    <row r="34" spans="1:18" ht="20.399999999999999" x14ac:dyDescent="0.2">
      <c r="A34" s="67"/>
      <c r="B34" s="8" t="s">
        <v>37</v>
      </c>
      <c r="C34" s="3">
        <v>18.600000000000001</v>
      </c>
      <c r="D34" s="3">
        <v>5024.22</v>
      </c>
      <c r="E34" s="3">
        <v>5</v>
      </c>
      <c r="F34" s="3">
        <v>685</v>
      </c>
      <c r="G34" s="29">
        <v>0</v>
      </c>
      <c r="H34" s="3">
        <v>0</v>
      </c>
      <c r="I34" s="3">
        <v>0</v>
      </c>
      <c r="J34" s="29">
        <v>0</v>
      </c>
      <c r="K34" s="3">
        <v>0</v>
      </c>
      <c r="L34" s="3">
        <v>0</v>
      </c>
      <c r="M34" s="29">
        <f t="shared" ref="M34:M46" si="9">D34+F34+H34+J34+L34</f>
        <v>5709.22</v>
      </c>
      <c r="N34" s="72" t="s">
        <v>66</v>
      </c>
      <c r="O34" s="72" t="s">
        <v>66</v>
      </c>
      <c r="P34" s="72" t="s">
        <v>66</v>
      </c>
      <c r="Q34" s="72" t="s">
        <v>66</v>
      </c>
    </row>
    <row r="35" spans="1:18" ht="20.399999999999999" x14ac:dyDescent="0.2">
      <c r="A35" s="67"/>
      <c r="B35" s="8" t="s">
        <v>28</v>
      </c>
      <c r="C35" s="3">
        <v>0</v>
      </c>
      <c r="D35" s="3">
        <v>0</v>
      </c>
      <c r="E35" s="3">
        <v>0</v>
      </c>
      <c r="F35" s="3">
        <v>0</v>
      </c>
      <c r="G35" s="29">
        <v>0</v>
      </c>
      <c r="H35" s="3">
        <v>0</v>
      </c>
      <c r="I35" s="3">
        <v>0</v>
      </c>
      <c r="J35" s="29">
        <v>0</v>
      </c>
      <c r="K35" s="3">
        <v>0</v>
      </c>
      <c r="L35" s="3">
        <v>0</v>
      </c>
      <c r="M35" s="29">
        <f t="shared" si="9"/>
        <v>0</v>
      </c>
      <c r="N35" s="72" t="s">
        <v>66</v>
      </c>
      <c r="O35" s="72" t="s">
        <v>66</v>
      </c>
      <c r="P35" s="72" t="s">
        <v>66</v>
      </c>
      <c r="Q35" s="72" t="s">
        <v>66</v>
      </c>
    </row>
    <row r="36" spans="1:18" hidden="1" x14ac:dyDescent="0.2">
      <c r="A36" s="67"/>
      <c r="B36" s="8">
        <v>0</v>
      </c>
      <c r="C36" s="3">
        <v>0</v>
      </c>
      <c r="D36" s="3">
        <v>0</v>
      </c>
      <c r="E36" s="3">
        <v>0</v>
      </c>
      <c r="F36" s="3">
        <v>0</v>
      </c>
      <c r="G36" s="29">
        <v>0</v>
      </c>
      <c r="H36" s="3">
        <v>0</v>
      </c>
      <c r="I36" s="3">
        <v>0</v>
      </c>
      <c r="J36" s="29">
        <v>0</v>
      </c>
      <c r="K36" s="3">
        <v>0</v>
      </c>
      <c r="L36" s="3">
        <v>0</v>
      </c>
      <c r="M36" s="29">
        <f t="shared" si="9"/>
        <v>0</v>
      </c>
      <c r="N36" s="72" t="s">
        <v>66</v>
      </c>
      <c r="O36" s="72" t="s">
        <v>66</v>
      </c>
      <c r="P36" s="72" t="s">
        <v>66</v>
      </c>
      <c r="Q36" s="72" t="s">
        <v>66</v>
      </c>
    </row>
    <row r="37" spans="1:18" ht="24.6" hidden="1" customHeight="1" x14ac:dyDescent="0.2">
      <c r="A37" s="67"/>
      <c r="B37" s="8">
        <v>0</v>
      </c>
      <c r="C37" s="3">
        <v>0</v>
      </c>
      <c r="D37" s="3">
        <v>0</v>
      </c>
      <c r="E37" s="3">
        <v>0</v>
      </c>
      <c r="F37" s="3">
        <v>0</v>
      </c>
      <c r="G37" s="29">
        <v>0</v>
      </c>
      <c r="H37" s="3">
        <v>0</v>
      </c>
      <c r="I37" s="3">
        <v>0</v>
      </c>
      <c r="J37" s="29">
        <v>0</v>
      </c>
      <c r="K37" s="3">
        <v>0</v>
      </c>
      <c r="L37" s="3">
        <v>0</v>
      </c>
      <c r="M37" s="29">
        <f t="shared" si="9"/>
        <v>0</v>
      </c>
      <c r="N37" s="72" t="s">
        <v>66</v>
      </c>
      <c r="O37" s="72" t="s">
        <v>66</v>
      </c>
      <c r="P37" s="72" t="s">
        <v>66</v>
      </c>
      <c r="Q37" s="72" t="s">
        <v>66</v>
      </c>
    </row>
    <row r="38" spans="1:18" ht="20.399999999999999" customHeight="1" x14ac:dyDescent="0.2">
      <c r="A38" s="67"/>
      <c r="B38" s="8" t="s">
        <v>53</v>
      </c>
      <c r="C38" s="3">
        <v>3.75</v>
      </c>
      <c r="D38" s="3">
        <v>858.75</v>
      </c>
      <c r="E38" s="3">
        <v>11</v>
      </c>
      <c r="F38" s="3">
        <v>1647.11</v>
      </c>
      <c r="G38" s="29">
        <v>0</v>
      </c>
      <c r="H38" s="3">
        <v>0</v>
      </c>
      <c r="I38" s="3">
        <v>0</v>
      </c>
      <c r="J38" s="29">
        <v>0</v>
      </c>
      <c r="K38" s="3">
        <v>0</v>
      </c>
      <c r="L38" s="3">
        <v>0</v>
      </c>
      <c r="M38" s="29">
        <f t="shared" si="9"/>
        <v>2505.8599999999997</v>
      </c>
      <c r="N38" s="72" t="s">
        <v>66</v>
      </c>
      <c r="O38" s="72" t="s">
        <v>66</v>
      </c>
      <c r="P38" s="72" t="s">
        <v>66</v>
      </c>
      <c r="Q38" s="72" t="s">
        <v>66</v>
      </c>
    </row>
    <row r="39" spans="1:18" ht="20.399999999999999" x14ac:dyDescent="0.2">
      <c r="A39" s="67"/>
      <c r="B39" s="8" t="s">
        <v>30</v>
      </c>
      <c r="C39" s="3">
        <v>10</v>
      </c>
      <c r="D39" s="3">
        <v>2240</v>
      </c>
      <c r="E39" s="3">
        <v>11</v>
      </c>
      <c r="F39" s="3">
        <v>1647.11</v>
      </c>
      <c r="G39" s="29">
        <v>5.78</v>
      </c>
      <c r="H39" s="3">
        <v>1323.62</v>
      </c>
      <c r="I39" s="3"/>
      <c r="J39" s="29"/>
      <c r="K39" s="3">
        <v>0</v>
      </c>
      <c r="L39" s="3">
        <v>0</v>
      </c>
      <c r="M39" s="29">
        <f t="shared" si="9"/>
        <v>5210.7299999999996</v>
      </c>
      <c r="N39" s="72" t="s">
        <v>66</v>
      </c>
      <c r="O39" s="72" t="s">
        <v>66</v>
      </c>
      <c r="P39" s="72" t="s">
        <v>66</v>
      </c>
      <c r="Q39" s="72" t="s">
        <v>66</v>
      </c>
    </row>
    <row r="40" spans="1:18" ht="20.399999999999999" x14ac:dyDescent="0.2">
      <c r="A40" s="67"/>
      <c r="B40" s="8" t="s">
        <v>31</v>
      </c>
      <c r="C40" s="3">
        <v>1.99</v>
      </c>
      <c r="D40" s="3">
        <v>455.7</v>
      </c>
      <c r="E40" s="3">
        <v>11</v>
      </c>
      <c r="F40" s="3">
        <v>1647.11</v>
      </c>
      <c r="G40" s="29"/>
      <c r="H40" s="3"/>
      <c r="I40" s="3"/>
      <c r="J40" s="29"/>
      <c r="K40" s="3">
        <v>0</v>
      </c>
      <c r="L40" s="3">
        <v>0</v>
      </c>
      <c r="M40" s="29">
        <f t="shared" si="9"/>
        <v>2102.81</v>
      </c>
      <c r="N40" s="72" t="s">
        <v>66</v>
      </c>
      <c r="O40" s="72" t="s">
        <v>66</v>
      </c>
      <c r="P40" s="72" t="s">
        <v>66</v>
      </c>
      <c r="Q40" s="72" t="s">
        <v>66</v>
      </c>
    </row>
    <row r="41" spans="1:18" ht="20.399999999999999" x14ac:dyDescent="0.2">
      <c r="A41" s="67"/>
      <c r="B41" s="8" t="s">
        <v>17</v>
      </c>
      <c r="C41" s="3">
        <v>53.68</v>
      </c>
      <c r="D41" s="3">
        <v>14430.19</v>
      </c>
      <c r="E41" s="3">
        <v>7</v>
      </c>
      <c r="F41" s="3">
        <v>959</v>
      </c>
      <c r="G41" s="29">
        <v>0</v>
      </c>
      <c r="H41" s="3">
        <v>0</v>
      </c>
      <c r="I41" s="3">
        <v>0</v>
      </c>
      <c r="J41" s="29">
        <v>0</v>
      </c>
      <c r="K41" s="3">
        <v>0</v>
      </c>
      <c r="L41" s="3">
        <v>0</v>
      </c>
      <c r="M41" s="29">
        <f t="shared" si="9"/>
        <v>15389.19</v>
      </c>
      <c r="N41" s="72" t="s">
        <v>66</v>
      </c>
      <c r="O41" s="72" t="s">
        <v>66</v>
      </c>
      <c r="P41" s="72" t="s">
        <v>66</v>
      </c>
      <c r="Q41" s="72" t="s">
        <v>66</v>
      </c>
    </row>
    <row r="42" spans="1:18" ht="20.399999999999999" x14ac:dyDescent="0.2">
      <c r="A42" s="67"/>
      <c r="B42" s="8" t="s">
        <v>12</v>
      </c>
      <c r="C42" s="3">
        <v>30</v>
      </c>
      <c r="D42" s="3">
        <v>9960</v>
      </c>
      <c r="E42" s="3"/>
      <c r="F42" s="3"/>
      <c r="G42" s="29"/>
      <c r="H42" s="3"/>
      <c r="I42" s="3"/>
      <c r="J42" s="29"/>
      <c r="K42" s="3">
        <v>0</v>
      </c>
      <c r="L42" s="3">
        <v>0</v>
      </c>
      <c r="M42" s="29">
        <f t="shared" si="9"/>
        <v>9960</v>
      </c>
      <c r="N42" s="72" t="s">
        <v>66</v>
      </c>
      <c r="O42" s="72" t="s">
        <v>66</v>
      </c>
      <c r="P42" s="72" t="s">
        <v>66</v>
      </c>
      <c r="Q42" s="72" t="s">
        <v>66</v>
      </c>
    </row>
    <row r="43" spans="1:18" ht="20.399999999999999" x14ac:dyDescent="0.2">
      <c r="A43" s="67"/>
      <c r="B43" s="8" t="s">
        <v>21</v>
      </c>
      <c r="C43" s="3">
        <v>30</v>
      </c>
      <c r="D43" s="3">
        <v>9960</v>
      </c>
      <c r="E43" s="3"/>
      <c r="F43" s="3"/>
      <c r="G43" s="29"/>
      <c r="H43" s="3"/>
      <c r="I43" s="3"/>
      <c r="J43" s="29"/>
      <c r="K43" s="3">
        <v>0</v>
      </c>
      <c r="L43" s="3">
        <v>0</v>
      </c>
      <c r="M43" s="29">
        <f t="shared" si="9"/>
        <v>9960</v>
      </c>
      <c r="N43" s="72" t="s">
        <v>66</v>
      </c>
      <c r="O43" s="72" t="s">
        <v>66</v>
      </c>
      <c r="P43" s="72" t="s">
        <v>66</v>
      </c>
      <c r="Q43" s="72" t="s">
        <v>66</v>
      </c>
    </row>
    <row r="44" spans="1:18" ht="20.399999999999999" x14ac:dyDescent="0.2">
      <c r="A44" s="68"/>
      <c r="B44" s="8" t="s">
        <v>27</v>
      </c>
      <c r="C44" s="3">
        <v>40.26</v>
      </c>
      <c r="D44" s="3">
        <v>10822.64</v>
      </c>
      <c r="E44" s="3">
        <v>10</v>
      </c>
      <c r="F44" s="3">
        <v>1370</v>
      </c>
      <c r="G44" s="29">
        <v>0</v>
      </c>
      <c r="H44" s="3">
        <v>0</v>
      </c>
      <c r="I44" s="3">
        <v>0</v>
      </c>
      <c r="J44" s="29">
        <v>0</v>
      </c>
      <c r="K44" s="3">
        <v>0</v>
      </c>
      <c r="L44" s="3">
        <v>0</v>
      </c>
      <c r="M44" s="29">
        <f t="shared" si="9"/>
        <v>12192.64</v>
      </c>
      <c r="N44" s="72" t="s">
        <v>66</v>
      </c>
      <c r="O44" s="72" t="s">
        <v>66</v>
      </c>
      <c r="P44" s="72" t="s">
        <v>66</v>
      </c>
      <c r="Q44" s="72" t="s">
        <v>66</v>
      </c>
    </row>
    <row r="45" spans="1:18" ht="20.399999999999999" x14ac:dyDescent="0.2">
      <c r="A45" s="68"/>
      <c r="B45" s="8" t="s">
        <v>33</v>
      </c>
      <c r="C45" s="3">
        <v>16.97</v>
      </c>
      <c r="D45" s="3">
        <v>4561.8500000000004</v>
      </c>
      <c r="E45" s="3">
        <v>7</v>
      </c>
      <c r="F45" s="3">
        <v>959</v>
      </c>
      <c r="G45" s="29">
        <v>0</v>
      </c>
      <c r="H45" s="3">
        <v>0</v>
      </c>
      <c r="I45" s="3">
        <v>0</v>
      </c>
      <c r="J45" s="29">
        <v>0</v>
      </c>
      <c r="K45" s="3">
        <v>0</v>
      </c>
      <c r="L45" s="3">
        <v>0</v>
      </c>
      <c r="M45" s="29">
        <f t="shared" si="9"/>
        <v>5520.85</v>
      </c>
      <c r="N45" s="72" t="s">
        <v>66</v>
      </c>
      <c r="O45" s="72" t="s">
        <v>66</v>
      </c>
      <c r="P45" s="72" t="s">
        <v>66</v>
      </c>
      <c r="Q45" s="72" t="s">
        <v>66</v>
      </c>
    </row>
    <row r="46" spans="1:18" ht="20.399999999999999" x14ac:dyDescent="0.2">
      <c r="A46" s="68"/>
      <c r="B46" s="8" t="s">
        <v>34</v>
      </c>
      <c r="C46" s="3">
        <v>3.9</v>
      </c>
      <c r="D46" s="3">
        <v>893.1</v>
      </c>
      <c r="E46" s="3">
        <v>11</v>
      </c>
      <c r="F46" s="3">
        <v>1647.11</v>
      </c>
      <c r="G46" s="29">
        <v>0</v>
      </c>
      <c r="H46" s="3">
        <v>0</v>
      </c>
      <c r="I46" s="3">
        <v>0</v>
      </c>
      <c r="J46" s="29">
        <v>0</v>
      </c>
      <c r="K46" s="3">
        <v>0</v>
      </c>
      <c r="L46" s="3">
        <v>0</v>
      </c>
      <c r="M46" s="29">
        <f t="shared" si="9"/>
        <v>2540.21</v>
      </c>
      <c r="N46" s="72" t="s">
        <v>66</v>
      </c>
      <c r="O46" s="72" t="s">
        <v>66</v>
      </c>
      <c r="P46" s="72" t="s">
        <v>66</v>
      </c>
      <c r="Q46" s="72" t="s">
        <v>66</v>
      </c>
    </row>
    <row r="47" spans="1:18" ht="22.95" customHeight="1" x14ac:dyDescent="0.2">
      <c r="B47" s="3" t="s">
        <v>65</v>
      </c>
      <c r="C47" s="3"/>
      <c r="D47" s="3"/>
      <c r="E47" s="3"/>
      <c r="F47" s="3"/>
      <c r="G47" s="29"/>
      <c r="H47" s="3"/>
      <c r="I47" s="8"/>
      <c r="J47" s="29"/>
      <c r="K47" s="3"/>
      <c r="L47" s="3"/>
      <c r="M47" s="29">
        <f>SUM(M33:M46)</f>
        <v>74340.940000000017</v>
      </c>
      <c r="N47" s="29">
        <v>75000</v>
      </c>
      <c r="O47" s="29">
        <v>75000</v>
      </c>
      <c r="P47" s="29">
        <v>75000</v>
      </c>
      <c r="Q47" s="29">
        <v>75000</v>
      </c>
    </row>
  </sheetData>
  <mergeCells count="12">
    <mergeCell ref="X1:Y1"/>
    <mergeCell ref="A5:A18"/>
    <mergeCell ref="A33:A46"/>
    <mergeCell ref="C31:D31"/>
    <mergeCell ref="E31:F31"/>
    <mergeCell ref="G31:H31"/>
    <mergeCell ref="I31:J31"/>
    <mergeCell ref="K31:L31"/>
    <mergeCell ref="A31:A32"/>
    <mergeCell ref="B31:B32"/>
    <mergeCell ref="C28:O28"/>
    <mergeCell ref="F2:V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C19" sqref="C19:M19"/>
    </sheetView>
  </sheetViews>
  <sheetFormatPr defaultRowHeight="14.4" x14ac:dyDescent="0.3"/>
  <sheetData>
    <row r="1" spans="1:19" s="1" customFormat="1" ht="13.95" customHeight="1" x14ac:dyDescent="0.25">
      <c r="C1" s="71" t="s">
        <v>64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31"/>
      <c r="Q1" s="31"/>
      <c r="S1" s="12"/>
    </row>
    <row r="2" spans="1:19" s="1" customFormat="1" ht="10.199999999999999" x14ac:dyDescent="0.2">
      <c r="G2" s="9"/>
      <c r="H2" s="9"/>
      <c r="I2" s="9"/>
      <c r="J2" s="9"/>
      <c r="K2" s="9"/>
      <c r="L2" s="9"/>
      <c r="M2" s="9"/>
      <c r="N2" s="9"/>
      <c r="O2" s="31"/>
      <c r="P2" s="31"/>
      <c r="Q2" s="31"/>
      <c r="S2" s="12"/>
    </row>
    <row r="3" spans="1:19" s="1" customFormat="1" ht="10.199999999999999" x14ac:dyDescent="0.2">
      <c r="G3" s="9"/>
      <c r="H3" s="9"/>
      <c r="I3" s="9"/>
      <c r="J3" s="9"/>
      <c r="K3" s="9"/>
      <c r="L3" s="9"/>
      <c r="M3" s="9"/>
      <c r="N3" s="9"/>
      <c r="O3" s="31"/>
      <c r="P3" s="31"/>
      <c r="Q3" s="31"/>
      <c r="S3" s="12"/>
    </row>
    <row r="4" spans="1:19" s="1" customFormat="1" ht="43.95" customHeight="1" x14ac:dyDescent="0.2">
      <c r="A4" s="70" t="s">
        <v>15</v>
      </c>
      <c r="B4" s="70" t="s">
        <v>2</v>
      </c>
      <c r="C4" s="67" t="s">
        <v>45</v>
      </c>
      <c r="D4" s="67"/>
      <c r="E4" s="67" t="s">
        <v>46</v>
      </c>
      <c r="F4" s="67"/>
      <c r="G4" s="69" t="s">
        <v>47</v>
      </c>
      <c r="H4" s="69"/>
      <c r="I4" s="69" t="s">
        <v>48</v>
      </c>
      <c r="J4" s="69"/>
      <c r="K4" s="69" t="s">
        <v>49</v>
      </c>
      <c r="L4" s="69"/>
      <c r="M4" s="53" t="s">
        <v>14</v>
      </c>
      <c r="N4" s="3" t="s">
        <v>62</v>
      </c>
      <c r="O4" s="3" t="s">
        <v>43</v>
      </c>
      <c r="P4" s="3" t="s">
        <v>44</v>
      </c>
      <c r="Q4" s="3" t="s">
        <v>55</v>
      </c>
      <c r="R4" s="3" t="s">
        <v>7</v>
      </c>
      <c r="S4" s="12"/>
    </row>
    <row r="5" spans="1:19" s="1" customFormat="1" ht="20.399999999999999" customHeight="1" x14ac:dyDescent="0.2">
      <c r="A5" s="70"/>
      <c r="B5" s="70"/>
      <c r="C5" s="56" t="s">
        <v>50</v>
      </c>
      <c r="D5" s="56" t="s">
        <v>51</v>
      </c>
      <c r="E5" s="56" t="s">
        <v>50</v>
      </c>
      <c r="F5" s="56" t="s">
        <v>51</v>
      </c>
      <c r="G5" s="57" t="s">
        <v>50</v>
      </c>
      <c r="H5" s="57" t="s">
        <v>51</v>
      </c>
      <c r="I5" s="57" t="s">
        <v>50</v>
      </c>
      <c r="J5" s="57" t="s">
        <v>51</v>
      </c>
      <c r="K5" s="57" t="s">
        <v>50</v>
      </c>
      <c r="L5" s="57" t="s">
        <v>51</v>
      </c>
      <c r="M5" s="57" t="s">
        <v>51</v>
      </c>
      <c r="N5" s="9"/>
      <c r="O5" s="31"/>
      <c r="P5" s="31"/>
      <c r="Q5" s="31"/>
      <c r="S5" s="12"/>
    </row>
    <row r="6" spans="1:19" s="1" customFormat="1" ht="30.6" x14ac:dyDescent="0.2">
      <c r="A6" s="67" t="s">
        <v>32</v>
      </c>
      <c r="B6" s="8" t="s">
        <v>41</v>
      </c>
      <c r="C6" s="3">
        <v>0.22</v>
      </c>
      <c r="D6" s="3">
        <v>50.38</v>
      </c>
      <c r="E6" s="3">
        <v>1</v>
      </c>
      <c r="F6" s="3">
        <v>210</v>
      </c>
      <c r="G6" s="3"/>
      <c r="H6" s="3"/>
      <c r="I6" s="3"/>
      <c r="J6" s="3"/>
      <c r="K6" s="3">
        <v>0</v>
      </c>
      <c r="L6" s="3">
        <v>0</v>
      </c>
      <c r="M6" s="8">
        <f>D6+F6+H6+J6+L6</f>
        <v>260.38</v>
      </c>
      <c r="N6" s="9"/>
      <c r="O6" s="31"/>
      <c r="P6" s="31"/>
      <c r="Q6" s="31"/>
      <c r="S6" s="12"/>
    </row>
    <row r="7" spans="1:19" s="1" customFormat="1" ht="30.6" x14ac:dyDescent="0.2">
      <c r="A7" s="67"/>
      <c r="B7" s="8" t="s">
        <v>37</v>
      </c>
      <c r="C7" s="3">
        <v>1.83</v>
      </c>
      <c r="D7" s="3">
        <v>419.07</v>
      </c>
      <c r="E7" s="3">
        <v>11</v>
      </c>
      <c r="F7" s="3">
        <v>1647.11</v>
      </c>
      <c r="G7" s="3"/>
      <c r="H7" s="3"/>
      <c r="I7" s="3"/>
      <c r="J7" s="3"/>
      <c r="K7" s="3">
        <v>0</v>
      </c>
      <c r="L7" s="3">
        <v>0</v>
      </c>
      <c r="M7" s="8">
        <f t="shared" ref="M7:M19" si="0">D7+F7+H7+J7+L7</f>
        <v>2066.1799999999998</v>
      </c>
      <c r="N7" s="9"/>
      <c r="O7" s="31"/>
      <c r="P7" s="31"/>
      <c r="Q7" s="31"/>
      <c r="S7" s="12"/>
    </row>
    <row r="8" spans="1:19" s="1" customFormat="1" ht="30.6" x14ac:dyDescent="0.2">
      <c r="A8" s="67"/>
      <c r="B8" s="8" t="s">
        <v>28</v>
      </c>
      <c r="C8" s="3"/>
      <c r="D8" s="3"/>
      <c r="E8" s="3"/>
      <c r="F8" s="3"/>
      <c r="G8" s="3"/>
      <c r="H8" s="3"/>
      <c r="I8" s="3"/>
      <c r="J8" s="3"/>
      <c r="K8" s="3">
        <v>0</v>
      </c>
      <c r="L8" s="3">
        <v>0</v>
      </c>
      <c r="M8" s="8">
        <f t="shared" si="0"/>
        <v>0</v>
      </c>
      <c r="N8" s="9"/>
      <c r="O8" s="31"/>
      <c r="P8" s="31"/>
      <c r="Q8" s="31"/>
      <c r="S8" s="12"/>
    </row>
    <row r="9" spans="1:19" s="1" customFormat="1" ht="10.199999999999999" hidden="1" x14ac:dyDescent="0.2">
      <c r="A9" s="67"/>
      <c r="B9" s="8"/>
      <c r="C9" s="3"/>
      <c r="D9" s="3"/>
      <c r="E9" s="3"/>
      <c r="F9" s="3"/>
      <c r="G9" s="3"/>
      <c r="H9" s="3"/>
      <c r="I9" s="3"/>
      <c r="J9" s="3"/>
      <c r="K9" s="3">
        <v>0</v>
      </c>
      <c r="L9" s="3">
        <v>0</v>
      </c>
      <c r="M9" s="8">
        <f t="shared" si="0"/>
        <v>0</v>
      </c>
      <c r="N9" s="9"/>
      <c r="O9" s="31"/>
      <c r="P9" s="31"/>
      <c r="Q9" s="31"/>
      <c r="S9" s="12"/>
    </row>
    <row r="10" spans="1:19" s="1" customFormat="1" ht="24.6" hidden="1" customHeight="1" x14ac:dyDescent="0.2">
      <c r="A10" s="67"/>
      <c r="B10" s="8"/>
      <c r="C10" s="3"/>
      <c r="D10" s="3"/>
      <c r="E10" s="3"/>
      <c r="F10" s="3"/>
      <c r="G10" s="3"/>
      <c r="H10" s="3"/>
      <c r="I10" s="3"/>
      <c r="J10" s="3"/>
      <c r="K10" s="3">
        <v>0</v>
      </c>
      <c r="L10" s="3">
        <v>0</v>
      </c>
      <c r="M10" s="8">
        <f t="shared" si="0"/>
        <v>0</v>
      </c>
      <c r="N10" s="9"/>
      <c r="O10" s="31"/>
      <c r="P10" s="31"/>
      <c r="Q10" s="31"/>
      <c r="S10" s="12"/>
    </row>
    <row r="11" spans="1:19" s="1" customFormat="1" ht="10.199999999999999" hidden="1" x14ac:dyDescent="0.2">
      <c r="A11" s="67"/>
      <c r="B11" s="8"/>
      <c r="C11" s="3"/>
      <c r="D11" s="3"/>
      <c r="E11" s="3"/>
      <c r="F11" s="3"/>
      <c r="G11" s="3"/>
      <c r="H11" s="3"/>
      <c r="I11" s="3"/>
      <c r="J11" s="3"/>
      <c r="K11" s="3">
        <v>0</v>
      </c>
      <c r="L11" s="3">
        <v>0</v>
      </c>
      <c r="M11" s="8">
        <f t="shared" si="0"/>
        <v>0</v>
      </c>
      <c r="N11" s="9"/>
      <c r="O11" s="31"/>
      <c r="P11" s="31"/>
      <c r="Q11" s="31"/>
      <c r="S11" s="12"/>
    </row>
    <row r="12" spans="1:19" s="1" customFormat="1" ht="40.799999999999997" x14ac:dyDescent="0.2">
      <c r="A12" s="67"/>
      <c r="B12" s="8" t="s">
        <v>30</v>
      </c>
      <c r="C12" s="3">
        <v>10</v>
      </c>
      <c r="D12" s="3">
        <v>2240</v>
      </c>
      <c r="E12" s="3">
        <v>11</v>
      </c>
      <c r="F12" s="3">
        <v>1647.11</v>
      </c>
      <c r="G12" s="3">
        <v>5.78</v>
      </c>
      <c r="H12" s="3">
        <v>1323.62</v>
      </c>
      <c r="I12" s="3"/>
      <c r="J12" s="3"/>
      <c r="K12" s="3">
        <v>0</v>
      </c>
      <c r="L12" s="3">
        <v>0</v>
      </c>
      <c r="M12" s="8">
        <f t="shared" si="0"/>
        <v>5210.7299999999996</v>
      </c>
      <c r="N12" s="9"/>
      <c r="O12" s="31"/>
      <c r="P12" s="31"/>
      <c r="Q12" s="31"/>
      <c r="S12" s="12"/>
    </row>
    <row r="13" spans="1:19" s="1" customFormat="1" ht="30.6" x14ac:dyDescent="0.2">
      <c r="A13" s="67"/>
      <c r="B13" s="8" t="s">
        <v>31</v>
      </c>
      <c r="C13" s="3">
        <v>1.99</v>
      </c>
      <c r="D13" s="3">
        <v>455.7</v>
      </c>
      <c r="E13" s="3">
        <v>11</v>
      </c>
      <c r="F13" s="3">
        <v>1647.11</v>
      </c>
      <c r="G13" s="3"/>
      <c r="H13" s="3"/>
      <c r="I13" s="3"/>
      <c r="J13" s="3"/>
      <c r="K13" s="3">
        <v>0</v>
      </c>
      <c r="L13" s="3">
        <v>0</v>
      </c>
      <c r="M13" s="8">
        <f t="shared" si="0"/>
        <v>2102.81</v>
      </c>
      <c r="N13" s="9"/>
      <c r="O13" s="31"/>
      <c r="P13" s="31"/>
      <c r="Q13" s="31"/>
      <c r="S13" s="12"/>
    </row>
    <row r="14" spans="1:19" s="1" customFormat="1" ht="20.399999999999999" x14ac:dyDescent="0.2">
      <c r="A14" s="67"/>
      <c r="B14" s="8" t="s">
        <v>17</v>
      </c>
      <c r="C14" s="3">
        <v>2.65</v>
      </c>
      <c r="D14" s="3">
        <v>606.85</v>
      </c>
      <c r="E14" s="3">
        <v>11</v>
      </c>
      <c r="F14" s="3">
        <v>1647.11</v>
      </c>
      <c r="G14" s="3"/>
      <c r="H14" s="3"/>
      <c r="I14" s="3"/>
      <c r="J14" s="3"/>
      <c r="K14" s="3">
        <v>0</v>
      </c>
      <c r="L14" s="3">
        <v>0</v>
      </c>
      <c r="M14" s="8">
        <f t="shared" si="0"/>
        <v>2253.96</v>
      </c>
      <c r="N14" s="9"/>
      <c r="O14" s="31"/>
      <c r="P14" s="31"/>
      <c r="Q14" s="31"/>
      <c r="S14" s="12"/>
    </row>
    <row r="15" spans="1:19" s="1" customFormat="1" ht="20.399999999999999" x14ac:dyDescent="0.2">
      <c r="A15" s="67"/>
      <c r="B15" s="8" t="s">
        <v>12</v>
      </c>
      <c r="C15" s="3">
        <v>30</v>
      </c>
      <c r="D15" s="3">
        <v>9960</v>
      </c>
      <c r="E15" s="3"/>
      <c r="F15" s="3"/>
      <c r="G15" s="3"/>
      <c r="H15" s="3"/>
      <c r="I15" s="3"/>
      <c r="J15" s="3"/>
      <c r="K15" s="3">
        <v>0</v>
      </c>
      <c r="L15" s="3">
        <v>0</v>
      </c>
      <c r="M15" s="8">
        <f t="shared" si="0"/>
        <v>9960</v>
      </c>
      <c r="N15" s="9"/>
      <c r="O15" s="31"/>
      <c r="P15" s="31"/>
      <c r="Q15" s="31"/>
      <c r="S15" s="12"/>
    </row>
    <row r="16" spans="1:19" s="1" customFormat="1" ht="20.399999999999999" x14ac:dyDescent="0.2">
      <c r="A16" s="67"/>
      <c r="B16" s="8" t="s">
        <v>21</v>
      </c>
      <c r="C16" s="3">
        <v>30</v>
      </c>
      <c r="D16" s="3">
        <v>9960</v>
      </c>
      <c r="E16" s="3"/>
      <c r="F16" s="3"/>
      <c r="G16" s="3"/>
      <c r="H16" s="3"/>
      <c r="I16" s="3"/>
      <c r="J16" s="3"/>
      <c r="K16" s="3">
        <v>0</v>
      </c>
      <c r="L16" s="3">
        <v>0</v>
      </c>
      <c r="M16" s="8">
        <f t="shared" si="0"/>
        <v>9960</v>
      </c>
      <c r="N16" s="9"/>
      <c r="O16" s="31"/>
      <c r="P16" s="31"/>
      <c r="Q16" s="31"/>
      <c r="S16" s="12"/>
    </row>
    <row r="17" spans="1:19" s="1" customFormat="1" ht="20.399999999999999" x14ac:dyDescent="0.2">
      <c r="A17" s="68"/>
      <c r="B17" s="8" t="s">
        <v>27</v>
      </c>
      <c r="C17" s="3">
        <v>2.7</v>
      </c>
      <c r="D17" s="3">
        <v>618.29999999999995</v>
      </c>
      <c r="E17" s="3">
        <v>11</v>
      </c>
      <c r="F17" s="3">
        <v>1647.11</v>
      </c>
      <c r="G17" s="3"/>
      <c r="H17" s="3"/>
      <c r="I17" s="3"/>
      <c r="J17" s="3"/>
      <c r="K17" s="3">
        <v>0</v>
      </c>
      <c r="L17" s="3">
        <v>0</v>
      </c>
      <c r="M17" s="8">
        <f t="shared" si="0"/>
        <v>2265.41</v>
      </c>
      <c r="N17" s="9"/>
      <c r="O17" s="31"/>
      <c r="P17" s="31"/>
      <c r="Q17" s="31"/>
      <c r="S17" s="12"/>
    </row>
    <row r="18" spans="1:19" s="1" customFormat="1" ht="30.6" x14ac:dyDescent="0.2">
      <c r="A18" s="68"/>
      <c r="B18" s="8" t="s">
        <v>33</v>
      </c>
      <c r="C18" s="3">
        <v>2.6</v>
      </c>
      <c r="D18" s="3">
        <v>555.4</v>
      </c>
      <c r="E18" s="3">
        <v>11</v>
      </c>
      <c r="F18" s="3">
        <v>1647.11</v>
      </c>
      <c r="G18" s="3"/>
      <c r="H18" s="3"/>
      <c r="I18" s="3"/>
      <c r="J18" s="3"/>
      <c r="K18" s="3">
        <v>0</v>
      </c>
      <c r="L18" s="3">
        <v>0</v>
      </c>
      <c r="M18" s="8">
        <f t="shared" si="0"/>
        <v>2202.5099999999998</v>
      </c>
      <c r="N18" s="9"/>
      <c r="O18" s="31"/>
      <c r="P18" s="31"/>
      <c r="Q18" s="31"/>
      <c r="S18" s="12"/>
    </row>
    <row r="19" spans="1:19" s="1" customFormat="1" ht="20.399999999999999" x14ac:dyDescent="0.2">
      <c r="A19" s="68"/>
      <c r="B19" s="8" t="s">
        <v>34</v>
      </c>
      <c r="C19" s="3">
        <v>3.9</v>
      </c>
      <c r="D19" s="3">
        <v>893.1</v>
      </c>
      <c r="E19" s="3">
        <v>11</v>
      </c>
      <c r="F19" s="3">
        <v>1647.11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8">
        <f t="shared" si="0"/>
        <v>2540.21</v>
      </c>
      <c r="N19" s="9"/>
      <c r="O19" s="31"/>
      <c r="P19" s="31"/>
      <c r="Q19" s="31"/>
      <c r="S19" s="12"/>
    </row>
    <row r="20" spans="1:19" s="1" customFormat="1" ht="20.399999999999999" x14ac:dyDescent="0.2">
      <c r="A20" s="60"/>
      <c r="B20" s="8" t="s">
        <v>53</v>
      </c>
      <c r="C20" s="3">
        <v>3.75</v>
      </c>
      <c r="D20" s="3">
        <v>858.75</v>
      </c>
      <c r="E20" s="3">
        <v>11</v>
      </c>
      <c r="F20" s="3">
        <v>1647.11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8">
        <f t="shared" ref="M20" si="1">D20+F20+H20+J20+L20</f>
        <v>2505.8599999999997</v>
      </c>
      <c r="N20" s="9"/>
      <c r="O20" s="31"/>
      <c r="P20" s="31"/>
      <c r="Q20" s="31"/>
      <c r="S20" s="12"/>
    </row>
    <row r="21" spans="1:19" s="1" customFormat="1" ht="10.199999999999999" x14ac:dyDescent="0.2">
      <c r="G21" s="2"/>
      <c r="I21" s="9"/>
      <c r="J21" s="2"/>
      <c r="M21" s="2"/>
      <c r="N21" s="2"/>
      <c r="O21" s="31"/>
      <c r="P21" s="31"/>
      <c r="Q21" s="31"/>
      <c r="S21" s="12"/>
    </row>
    <row r="22" spans="1:19" s="1" customFormat="1" ht="10.199999999999999" x14ac:dyDescent="0.2">
      <c r="G22" s="2"/>
      <c r="I22" s="9"/>
      <c r="J22" s="2"/>
      <c r="M22" s="2">
        <f>SUM(M6:M21)</f>
        <v>41328.050000000003</v>
      </c>
      <c r="N22" s="2"/>
      <c r="O22" s="31"/>
      <c r="P22" s="31"/>
      <c r="Q22" s="31"/>
      <c r="S22" s="12"/>
    </row>
  </sheetData>
  <mergeCells count="9">
    <mergeCell ref="A6:A19"/>
    <mergeCell ref="C1:O1"/>
    <mergeCell ref="A4:A5"/>
    <mergeCell ref="B4:B5"/>
    <mergeCell ref="C4:D4"/>
    <mergeCell ref="E4:F4"/>
    <mergeCell ref="G4:H4"/>
    <mergeCell ref="I4:J4"/>
    <mergeCell ref="K4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образов</vt:lpstr>
      <vt:lpstr>ЦТО</vt:lpstr>
      <vt:lpstr>ЦТО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Герасянова</dc:creator>
  <cp:lastModifiedBy>Кочанова Марина Александровна</cp:lastModifiedBy>
  <cp:lastPrinted>2026-07-29T08:50:06Z</cp:lastPrinted>
  <dcterms:created xsi:type="dcterms:W3CDTF">2014-12-08T03:46:19Z</dcterms:created>
  <dcterms:modified xsi:type="dcterms:W3CDTF">2026-07-30T07:39:07Z</dcterms:modified>
</cp:coreProperties>
</file>